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0" windowWidth="15480" windowHeight="6495" activeTab="0"/>
  </bookViews>
  <sheets>
    <sheet name="11306" sheetId="1" r:id="rId1"/>
    <sheet name="11305" sheetId="2" r:id="rId2"/>
    <sheet name="11304" sheetId="3" r:id="rId3"/>
    <sheet name="11303" sheetId="4" r:id="rId4"/>
    <sheet name="11302" sheetId="5" r:id="rId5"/>
    <sheet name="11301" sheetId="6" r:id="rId6"/>
    <sheet name="11212" sheetId="7" r:id="rId7"/>
    <sheet name="11211" sheetId="8" r:id="rId8"/>
    <sheet name="11210" sheetId="9" r:id="rId9"/>
    <sheet name="11209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8">'11210'!$A$1:$K$42</definedName>
    <definedName name="_xlnm.Print_Area" localSheetId="7">'11211'!$A$1:$K$42</definedName>
    <definedName name="_xlnm.Print_Area" localSheetId="6">'11212'!$A$1:$K$42</definedName>
    <definedName name="_xlnm.Print_Area" localSheetId="5">'11301'!$A$1:$K$42</definedName>
    <definedName name="_xlnm.Print_Area" localSheetId="4">'11302'!$A$1:$K$42</definedName>
    <definedName name="_xlnm.Print_Area" localSheetId="3">'11303'!$A$1:$K$42</definedName>
    <definedName name="_xlnm.Print_Area" localSheetId="2">'11304'!$A$1:$K$42</definedName>
    <definedName name="_xlnm.Print_Area" localSheetId="1">'11305'!$A$1:$K$42</definedName>
    <definedName name="_xlnm.Print_Area" localSheetId="0">'11306'!$A$1:$J$42</definedName>
  </definedNames>
  <calcPr fullCalcOnLoad="1"/>
</workbook>
</file>

<file path=xl/sharedStrings.xml><?xml version="1.0" encoding="utf-8"?>
<sst xmlns="http://schemas.openxmlformats.org/spreadsheetml/2006/main" count="554" uniqueCount="99">
  <si>
    <t>加入公、勞保人數</t>
  </si>
  <si>
    <t xml:space="preserve">各單位人數佔全校總人數比例
</t>
  </si>
  <si>
    <t>文學院</t>
  </si>
  <si>
    <t>農業暨自然資源學院</t>
  </si>
  <si>
    <t>理學院</t>
  </si>
  <si>
    <t>工學院</t>
  </si>
  <si>
    <t>生命科學院</t>
  </si>
  <si>
    <t>獸醫學院</t>
  </si>
  <si>
    <t>生物科技發展中心</t>
  </si>
  <si>
    <t>教務處</t>
  </si>
  <si>
    <t>總務處</t>
  </si>
  <si>
    <t>研究發展處</t>
  </si>
  <si>
    <t>國際事務處</t>
  </si>
  <si>
    <t>圖書館</t>
  </si>
  <si>
    <t>體育室</t>
  </si>
  <si>
    <t>秘書室</t>
  </si>
  <si>
    <t>人事室</t>
  </si>
  <si>
    <t>師資培育中心</t>
  </si>
  <si>
    <t>藝術中心</t>
  </si>
  <si>
    <t>總計</t>
  </si>
  <si>
    <t>備註：</t>
  </si>
  <si>
    <t>2.進用重度以上，每1人以2人計。</t>
  </si>
  <si>
    <t>3.部分工時工作且為身心障礙員工者，進用2人得以1人計入身心障礙者及員工總人數。</t>
  </si>
  <si>
    <t>分配應進用身心障礙者人數</t>
  </si>
  <si>
    <t>分配應進用身心障礙者人數</t>
  </si>
  <si>
    <t>主計室</t>
  </si>
  <si>
    <t>管理學院</t>
  </si>
  <si>
    <r>
      <t xml:space="preserve">已進用身心障礙人員人數
</t>
    </r>
    <r>
      <rPr>
        <sz val="10"/>
        <rFont val="標楷體"/>
        <family val="4"/>
      </rPr>
      <t>(部分工時，折半計算)</t>
    </r>
  </si>
  <si>
    <t>法政學院</t>
  </si>
  <si>
    <t>小計</t>
  </si>
  <si>
    <t>已進用身心障礙人員人數-重度加權後</t>
  </si>
  <si>
    <t>各單位已進用身心障礙人員比例</t>
  </si>
  <si>
    <t>創新產業暨國際學院</t>
  </si>
  <si>
    <t>產學研鏈結中心</t>
  </si>
  <si>
    <t>電機資訊學院</t>
  </si>
  <si>
    <t>1.技工、工友、駐衛警及留職停薪係出缺不補或凍結之員額，依規定不計入員工總人數，爰不列入各單位加入公、勞保人數計算。</t>
  </si>
  <si>
    <t>前瞻理工科技研究中心</t>
  </si>
  <si>
    <t>農產品驗證中心</t>
  </si>
  <si>
    <t>人文社會科學前瞻研究中心</t>
  </si>
  <si>
    <t>其他</t>
  </si>
  <si>
    <t>醫學院</t>
  </si>
  <si>
    <t>4.依108年8月22日本校因應教學助理全面納保事宜第3次分工會議決議，以108年9月1日為基準，未足額進用身障人數為2人以上
  之單位至少應進用1名身障人力，如仍未進用者，自108年10月1日起其新進臨時人員及勞動型兼任助理僅限身障員工。</t>
  </si>
  <si>
    <t>學生事務處</t>
  </si>
  <si>
    <t>*</t>
  </si>
  <si>
    <t>1120901超額或未足額進用人數</t>
  </si>
  <si>
    <t>1121001超額或未足額進用人數</t>
  </si>
  <si>
    <t>1121001進用身心障礙人數達成率</t>
  </si>
  <si>
    <t>計算機及資訊網路中心</t>
  </si>
  <si>
    <t>環境保護暨安全衛生中心</t>
  </si>
  <si>
    <t>加入公、勞保人數計2780人，
扣除折半計算身障員工、技工工友、駐衛警、稀科、臨時專任、留停人員、身障未達基本工資1/2者，實際應計總人數2691人。</t>
  </si>
  <si>
    <t>5.資料時間:112年10月1日公、勞保投保人數。</t>
  </si>
  <si>
    <t>1121101進用身心障礙人數達成率</t>
  </si>
  <si>
    <t>1121101超額或未足額進用人數</t>
  </si>
  <si>
    <t>1120901進用身心障礙人數達成率</t>
  </si>
  <si>
    <t>1120801超額或未足額進用人數</t>
  </si>
  <si>
    <t>計資中心</t>
  </si>
  <si>
    <t>環安中心</t>
  </si>
  <si>
    <t>加入公、勞保人數計2765人，
扣除折半計算身障員工、技工工友、駐衛警、稀科、臨時專任、留停人員、身障未達基本工資1/2者，實際應計總人數2672人。</t>
  </si>
  <si>
    <t>5.資料時間:112年9月1日公、勞保投保人數。</t>
  </si>
  <si>
    <t>國立中興大學112年11月1日各一級單位依其人數比例，分配應進用身心障礙者人數一覽表</t>
  </si>
  <si>
    <t>國立中興大學112年10月1日各一級單位依其人數比例，分配應進用身心障礙者人數一覽表</t>
  </si>
  <si>
    <t>國立中興大學112年9月1日各一級單位依其人數比例，分配應進用身心障礙者人數一覽表</t>
  </si>
  <si>
    <t>5.資料時間:112年11月1日公、勞保投保人數。</t>
  </si>
  <si>
    <t>加入公、勞保人數計2984人，
扣除折半計算身障員工、技工工友、駐衛警、稀科、臨時專任、留停人員、身障未達基本工資1/2者，實際應計總人數2894人。</t>
  </si>
  <si>
    <t>國立中興大學112年12月1日各一級單位依其人數比例，分配應進用身心障礙者人數一覽表</t>
  </si>
  <si>
    <t>5.資料時間:112年12月1日公、勞保投保人數。</t>
  </si>
  <si>
    <t>加入公、勞保人數計2960人，
扣除折半計算身障員工、技工工友、駐衛警、稀科、臨時專任、留停人員、身障未達基本工資1/2者，實際應計總人數2872人。</t>
  </si>
  <si>
    <r>
      <rPr>
        <b/>
        <sz val="10"/>
        <color indexed="10"/>
        <rFont val="標楷體"/>
        <family val="4"/>
      </rPr>
      <t xml:space="preserve">1121101
</t>
    </r>
    <r>
      <rPr>
        <sz val="10"/>
        <rFont val="標楷體"/>
        <family val="4"/>
      </rPr>
      <t>超額或未足額進用人數</t>
    </r>
  </si>
  <si>
    <r>
      <rPr>
        <b/>
        <sz val="10"/>
        <color indexed="10"/>
        <rFont val="標楷體"/>
        <family val="4"/>
      </rPr>
      <t xml:space="preserve">1121201
</t>
    </r>
    <r>
      <rPr>
        <sz val="10"/>
        <rFont val="標楷體"/>
        <family val="4"/>
      </rPr>
      <t>超額或未足額進用人數</t>
    </r>
  </si>
  <si>
    <t>1121201
進用身心障礙人數達成率</t>
  </si>
  <si>
    <t>國立中興大學113年1月1日各一級單位依其人數比例，分配應進用身心障礙者人數一覽表</t>
  </si>
  <si>
    <t>1130101
進用身心障礙人數達成率</t>
  </si>
  <si>
    <r>
      <rPr>
        <b/>
        <sz val="10"/>
        <color indexed="10"/>
        <rFont val="標楷體"/>
        <family val="4"/>
      </rPr>
      <t xml:space="preserve">1130101
</t>
    </r>
    <r>
      <rPr>
        <sz val="10"/>
        <rFont val="標楷體"/>
        <family val="4"/>
      </rPr>
      <t>超額或未足額進用人數</t>
    </r>
  </si>
  <si>
    <t>5.資料時間:113年1月1日公、勞保投保人數。</t>
  </si>
  <si>
    <t>加入公、勞保人數計2578人，
扣除折半計算身障員工、技工工友、駐衛警、稀科、臨時專任、留停人員、身障未達基本工資1/2者，實際應計總人數2499人。</t>
  </si>
  <si>
    <t>國立中興大學113年2月1日各一級單位依其人數比例，分配應進用身心障礙者人數一覽表</t>
  </si>
  <si>
    <t>1130201
進用身心障礙人數達成率</t>
  </si>
  <si>
    <r>
      <rPr>
        <b/>
        <sz val="10"/>
        <color indexed="10"/>
        <rFont val="標楷體"/>
        <family val="4"/>
      </rPr>
      <t xml:space="preserve">1130201
</t>
    </r>
    <r>
      <rPr>
        <sz val="10"/>
        <rFont val="標楷體"/>
        <family val="4"/>
      </rPr>
      <t>超額或未足額進用人數</t>
    </r>
  </si>
  <si>
    <t>加入公、勞保人數計2688人，
扣除折半計算身障員工、技工工友、駐衛警、稀科、臨時專任、留停人員、身障未達基本工資1/2者，實際應計總人數2608人。</t>
  </si>
  <si>
    <t>5.資料時間:113年2月1日公、勞保投保人數。</t>
  </si>
  <si>
    <t>國立中興大學113年3月1日各一級單位依其人數比例，分配應進用身心障礙者人數一覽表</t>
  </si>
  <si>
    <t>1130301
進用身心障礙人數達成率</t>
  </si>
  <si>
    <r>
      <rPr>
        <b/>
        <sz val="10"/>
        <color indexed="10"/>
        <rFont val="標楷體"/>
        <family val="4"/>
      </rPr>
      <t xml:space="preserve">1130301
</t>
    </r>
    <r>
      <rPr>
        <sz val="10"/>
        <rFont val="標楷體"/>
        <family val="4"/>
      </rPr>
      <t>超額或未足額進用人數</t>
    </r>
  </si>
  <si>
    <t>5.資料時間:113年3月1日公、勞保投保人數。</t>
  </si>
  <si>
    <t>加入公、勞保人數計2736人，
扣除折半計算身障員工、技工工友、駐衛警、稀科、臨時專任、留停人員、身障未達基本工資1/2者，實際應計總人數2661人。</t>
  </si>
  <si>
    <t>國立中興大學113年4月1日各一級單位依其人數比例，分配應進用身心障礙者人數一覽表</t>
  </si>
  <si>
    <r>
      <rPr>
        <b/>
        <sz val="10"/>
        <color indexed="10"/>
        <rFont val="標楷體"/>
        <family val="4"/>
      </rPr>
      <t xml:space="preserve">1130401
</t>
    </r>
    <r>
      <rPr>
        <sz val="10"/>
        <rFont val="標楷體"/>
        <family val="4"/>
      </rPr>
      <t>超額或未足額進用人數</t>
    </r>
  </si>
  <si>
    <t>1130401
進用身心障礙人數達成率</t>
  </si>
  <si>
    <t>5.資料時間:113年4月1日公、勞保投保人數。</t>
  </si>
  <si>
    <t>國立中興大學113年5月1日各一級單位依其人數比例，分配應進用身心障礙者人數一覽表</t>
  </si>
  <si>
    <r>
      <rPr>
        <b/>
        <sz val="10"/>
        <color indexed="10"/>
        <rFont val="標楷體"/>
        <family val="4"/>
      </rPr>
      <t xml:space="preserve">1130501
</t>
    </r>
    <r>
      <rPr>
        <sz val="10"/>
        <rFont val="標楷體"/>
        <family val="4"/>
      </rPr>
      <t>超額或未足額進用人數</t>
    </r>
  </si>
  <si>
    <t>1130501
進用身心障礙人數達成率</t>
  </si>
  <si>
    <t>5.資料時間:113年5月1日公、勞保投保人數。</t>
  </si>
  <si>
    <t>加入公、勞保人數計2747人，
扣除折半計算身障員工、技工工友、駐衛警、稀科、臨時專任、留停人員、身障未達基本工資1/2者，實際應計總人數2669人。</t>
  </si>
  <si>
    <t>加入公、勞保人數計2846人，
扣除折半計算身障員工、技工工友、駐衛警、稀科、臨時專任、留停人員、身障未達基本工資1/2者，實際應計總人數2768人。</t>
  </si>
  <si>
    <t>國立中興大學113年6月1日各一級單位依其人數比例，分配應進用身心障礙者人數一覽表</t>
  </si>
  <si>
    <r>
      <rPr>
        <b/>
        <sz val="10"/>
        <color indexed="10"/>
        <rFont val="標楷體"/>
        <family val="4"/>
      </rPr>
      <t xml:space="preserve">1130601
</t>
    </r>
    <r>
      <rPr>
        <sz val="10"/>
        <rFont val="標楷體"/>
        <family val="4"/>
      </rPr>
      <t>超額或未足額進用人數</t>
    </r>
  </si>
  <si>
    <t>5.資料時間:113年6月1日公、勞保投保人數。</t>
  </si>
  <si>
    <t>加入公、勞保人數計2800人，
扣除折半計算身障員工、技工工友、駐衛警、稀科、臨時專任、留停人員、身障未達基本工資1/2者，實際應計總人數2724人。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</si>
</sst>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_);[Red]\(0\)"/>
    <numFmt numFmtId="179" formatCode="#,##0_ "/>
    <numFmt numFmtId="180" formatCode="0.0_ "/>
    <numFmt numFmtId="181" formatCode="0;[Red]0"/>
    <numFmt numFmtId="182" formatCode="0.0_);[Red]\(0.0\)"/>
    <numFmt numFmtId="183" formatCode="0.0;[Red]0.0"/>
    <numFmt numFmtId="184" formatCode="0.0"/>
    <numFmt numFmtId="185" formatCode="0.000_ "/>
    <numFmt numFmtId="186" formatCode="[$-404]AM/PM\ hh:mm:ss"/>
  </numFmts>
  <fonts count="64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1"/>
      <name val="新細明體"/>
      <family val="1"/>
    </font>
    <font>
      <sz val="10"/>
      <name val="新細明體"/>
      <family val="1"/>
    </font>
    <font>
      <b/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2"/>
      <color indexed="12"/>
      <name val="新細明體"/>
      <family val="1"/>
    </font>
    <font>
      <sz val="12"/>
      <color indexed="12"/>
      <name val="標楷體"/>
      <family val="4"/>
    </font>
    <font>
      <sz val="10"/>
      <color indexed="12"/>
      <name val="標楷體"/>
      <family val="4"/>
    </font>
    <font>
      <sz val="10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  <font>
      <sz val="12"/>
      <color theme="1"/>
      <name val="新細明體"/>
      <family val="1"/>
    </font>
    <font>
      <sz val="12"/>
      <color rgb="FF0000FF"/>
      <name val="新細明體"/>
      <family val="1"/>
    </font>
    <font>
      <sz val="12"/>
      <color rgb="FFFF0000"/>
      <name val="新細明體"/>
      <family val="1"/>
    </font>
    <font>
      <sz val="12"/>
      <color rgb="FF0000FF"/>
      <name val="標楷體"/>
      <family val="4"/>
    </font>
    <font>
      <sz val="10"/>
      <color rgb="FF0000FF"/>
      <name val="標楷體"/>
      <family val="4"/>
    </font>
    <font>
      <sz val="10"/>
      <color rgb="FF0000FF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177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33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left" vertical="center"/>
    </xf>
    <xf numFmtId="180" fontId="56" fillId="0" borderId="10" xfId="0" applyNumberFormat="1" applyFont="1" applyFill="1" applyBorder="1" applyAlignment="1">
      <alignment horizontal="center" vertical="center"/>
    </xf>
    <xf numFmtId="180" fontId="56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0" fontId="57" fillId="33" borderId="10" xfId="0" applyNumberFormat="1" applyFont="1" applyFill="1" applyBorder="1" applyAlignment="1">
      <alignment horizontal="center" vertical="center"/>
    </xf>
    <xf numFmtId="180" fontId="56" fillId="0" borderId="0" xfId="0" applyNumberFormat="1" applyFont="1" applyFill="1" applyBorder="1" applyAlignment="1">
      <alignment horizontal="center" vertical="center"/>
    </xf>
    <xf numFmtId="9" fontId="56" fillId="0" borderId="10" xfId="0" applyNumberFormat="1" applyFont="1" applyFill="1" applyBorder="1" applyAlignment="1">
      <alignment horizontal="center" vertical="center"/>
    </xf>
    <xf numFmtId="9" fontId="56" fillId="33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0" fontId="56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/>
    </xf>
    <xf numFmtId="177" fontId="56" fillId="0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10" fontId="56" fillId="33" borderId="10" xfId="0" applyNumberFormat="1" applyFont="1" applyFill="1" applyBorder="1" applyAlignment="1">
      <alignment horizontal="center" vertical="center" wrapText="1"/>
    </xf>
    <xf numFmtId="176" fontId="56" fillId="33" borderId="10" xfId="0" applyNumberFormat="1" applyFont="1" applyFill="1" applyBorder="1" applyAlignment="1">
      <alignment horizontal="center" vertical="center"/>
    </xf>
    <xf numFmtId="177" fontId="56" fillId="33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3" fillId="34" borderId="10" xfId="0" applyFont="1" applyFill="1" applyBorder="1" applyAlignment="1">
      <alignment horizontal="justify" vertical="center" wrapText="1"/>
    </xf>
    <xf numFmtId="0" fontId="56" fillId="34" borderId="10" xfId="0" applyFont="1" applyFill="1" applyBorder="1" applyAlignment="1">
      <alignment horizontal="center" vertical="center"/>
    </xf>
    <xf numFmtId="10" fontId="56" fillId="34" borderId="10" xfId="0" applyNumberFormat="1" applyFont="1" applyFill="1" applyBorder="1" applyAlignment="1">
      <alignment horizontal="center" vertical="center" wrapText="1"/>
    </xf>
    <xf numFmtId="176" fontId="56" fillId="34" borderId="10" xfId="0" applyNumberFormat="1" applyFont="1" applyFill="1" applyBorder="1" applyAlignment="1">
      <alignment horizontal="center" vertical="center"/>
    </xf>
    <xf numFmtId="177" fontId="56" fillId="34" borderId="10" xfId="0" applyNumberFormat="1" applyFont="1" applyFill="1" applyBorder="1" applyAlignment="1">
      <alignment horizontal="center" vertical="center" wrapText="1"/>
    </xf>
    <xf numFmtId="9" fontId="56" fillId="34" borderId="10" xfId="0" applyNumberFormat="1" applyFont="1" applyFill="1" applyBorder="1" applyAlignment="1">
      <alignment horizontal="center" vertical="center"/>
    </xf>
    <xf numFmtId="180" fontId="57" fillId="34" borderId="10" xfId="0" applyNumberFormat="1" applyFont="1" applyFill="1" applyBorder="1" applyAlignment="1">
      <alignment horizontal="center" vertical="center"/>
    </xf>
    <xf numFmtId="180" fontId="56" fillId="34" borderId="10" xfId="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114300</xdr:rowOff>
    </xdr:from>
    <xdr:to>
      <xdr:col>6</xdr:col>
      <xdr:colOff>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591175" y="1000125"/>
          <a:ext cx="0" cy="285750"/>
        </a:xfrm>
        <a:prstGeom prst="borderCallout1">
          <a:avLst>
            <a:gd name="adj1" fmla="val -102175"/>
            <a:gd name="adj2" fmla="val -53333"/>
            <a:gd name="adj3" fmla="val -84782"/>
            <a:gd name="adj4" fmla="val -9999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4848\&#36523;&#38556;&#20154;&#21147;&#36914;&#29992;&#19981;&#36275;&#38989;\&#40599;&#23452;\2.&#27599;&#26376;10&#34399;_A4&#34920;(&#20197;&#27599;&#26376;1&#26085;&#28858;&#22522;&#28310;)\112&#24180;10&#26376;(1121001)\@112&#24180;10&#26376;&#20844;&#21214;&#20445;&#25237;&#20445;&#21517;&#21934;&#32317;&#2728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@113&#24180;6&#26376;&#20844;&#21214;&#20445;&#25237;&#20445;&#21517;&#21934;&#32317;&#272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004848\&#36523;&#38556;&#20154;&#21147;&#36914;&#29992;&#19981;&#36275;&#38989;\&#40599;&#23452;\2.&#27599;&#26376;10&#34399;_A4&#34920;(&#20197;&#27599;&#26376;1&#26085;&#28858;&#22522;&#28310;)\112&#24180;9&#26376;(1120901)\@112&#24180;09&#26376;&#20844;&#21214;&#20445;&#25237;&#20445;&#21517;&#21934;&#32317;&#272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04848\&#36523;&#38556;&#20154;&#21147;&#36914;&#29992;&#19981;&#36275;&#38989;\&#40599;&#23452;\2.&#27599;&#26376;10&#34399;_A4&#34920;(&#20197;&#27599;&#26376;1&#26085;&#28858;&#22522;&#28310;)\113&#24180;1&#26376;\@112&#24180;11&#26376;&#20844;&#21214;&#20445;&#25237;&#20445;&#21517;&#21934;&#32317;&#272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004848\&#36523;&#38556;&#20154;&#21147;&#36914;&#29992;&#19981;&#36275;&#38989;\&#40599;&#23452;\2.&#27599;&#26376;10&#34399;_A4&#34920;(&#20197;&#27599;&#26376;1&#26085;&#28858;&#22522;&#28310;)\113&#24180;1&#26376;\@112&#24180;12&#26376;&#20844;&#21214;&#20445;&#25237;&#20445;&#21517;&#21934;&#32317;&#27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004848\&#36523;&#38556;&#20154;&#21147;&#36914;&#29992;&#19981;&#36275;&#38989;\&#40599;&#23452;\2.&#27599;&#26376;10&#34399;_A4&#34920;(&#20197;&#27599;&#26376;1&#26085;&#28858;&#22522;&#28310;)\113&#24180;1&#26376;\@113&#24180;1&#26376;&#20844;&#21214;&#20445;&#25237;&#20445;&#21517;&#21934;&#32317;&#272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@113&#24180;2&#26376;&#20844;&#21214;&#20445;&#25237;&#20445;&#21517;&#21934;&#32317;&#272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@113&#24180;3&#26376;&#20844;&#21214;&#20445;&#25237;&#20445;&#21517;&#21934;&#32317;&#27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@113&#24180;4&#26376;&#20844;&#21214;&#20445;&#25237;&#20445;&#21517;&#21934;&#32317;&#27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@113&#24180;5&#26376;&#20844;&#21214;&#20445;&#25237;&#20445;&#21517;&#21934;&#32317;&#27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單位人數"/>
      <sheetName val="各職稱人數"/>
      <sheetName val="身障人數分析"/>
      <sheetName val="身障名冊"/>
      <sheetName val="公勞保名冊(不含教官駐警工友留停臨時專任)"/>
      <sheetName val="公務人員"/>
      <sheetName val="勞保(不含工友 留停 臨時專任)"/>
      <sheetName val="工友(42 含留停1人)"/>
      <sheetName val="駐警(9)"/>
      <sheetName val="公保(不含教官 駐警 稀科 留停)"/>
    </sheetNames>
    <sheetDataSet>
      <sheetData sheetId="0">
        <row r="5">
          <cell r="A5" t="str">
            <v>人文社會科學前瞻研究中心</v>
          </cell>
          <cell r="B5">
            <v>5</v>
          </cell>
        </row>
        <row r="6">
          <cell r="A6" t="str">
            <v>人事室</v>
          </cell>
          <cell r="B6">
            <v>30</v>
          </cell>
        </row>
        <row r="7">
          <cell r="A7" t="str">
            <v>大數據中心</v>
          </cell>
          <cell r="B7">
            <v>1</v>
          </cell>
        </row>
        <row r="8">
          <cell r="A8" t="str">
            <v>工學院</v>
          </cell>
          <cell r="B8">
            <v>259</v>
          </cell>
        </row>
        <row r="9">
          <cell r="A9" t="str">
            <v>中興新村校區籌備處</v>
          </cell>
          <cell r="B9">
            <v>1</v>
          </cell>
        </row>
        <row r="10">
          <cell r="A10" t="str">
            <v>文學院</v>
          </cell>
          <cell r="B10">
            <v>202</v>
          </cell>
        </row>
        <row r="11">
          <cell r="A11" t="str">
            <v>主計室</v>
          </cell>
          <cell r="B11">
            <v>29</v>
          </cell>
        </row>
        <row r="12">
          <cell r="A12" t="str">
            <v>生命科學院</v>
          </cell>
          <cell r="B12">
            <v>151</v>
          </cell>
        </row>
        <row r="13">
          <cell r="A13" t="str">
            <v>生物科技發展中心</v>
          </cell>
          <cell r="B13">
            <v>29</v>
          </cell>
        </row>
        <row r="14">
          <cell r="A14" t="str">
            <v>法政學院</v>
          </cell>
          <cell r="B14">
            <v>59</v>
          </cell>
        </row>
        <row r="15">
          <cell r="A15" t="str">
            <v>前瞻理工科技研究中心</v>
          </cell>
          <cell r="B15">
            <v>3</v>
          </cell>
        </row>
        <row r="16">
          <cell r="A16" t="str">
            <v>研究發展處</v>
          </cell>
          <cell r="B16">
            <v>44</v>
          </cell>
        </row>
        <row r="17">
          <cell r="A17" t="str">
            <v>計算機及資訊網路中心</v>
          </cell>
          <cell r="B17">
            <v>35</v>
          </cell>
        </row>
        <row r="18">
          <cell r="A18" t="str">
            <v>師資培育中心</v>
          </cell>
          <cell r="B18">
            <v>2</v>
          </cell>
        </row>
        <row r="19">
          <cell r="A19" t="str">
            <v>校長室</v>
          </cell>
          <cell r="B19">
            <v>3</v>
          </cell>
        </row>
        <row r="20">
          <cell r="A20" t="str">
            <v>秘書室</v>
          </cell>
          <cell r="B20">
            <v>28</v>
          </cell>
        </row>
        <row r="21">
          <cell r="A21" t="str">
            <v>副校長室</v>
          </cell>
          <cell r="B21">
            <v>3</v>
          </cell>
        </row>
        <row r="22">
          <cell r="A22" t="str">
            <v>動物醫學研究中心</v>
          </cell>
          <cell r="B22">
            <v>14</v>
          </cell>
        </row>
        <row r="23">
          <cell r="A23" t="str">
            <v>國防關鍵系統研究發展中心</v>
          </cell>
          <cell r="B23">
            <v>5</v>
          </cell>
        </row>
        <row r="24">
          <cell r="A24" t="str">
            <v>國際事務處</v>
          </cell>
          <cell r="B24">
            <v>18</v>
          </cell>
        </row>
        <row r="25">
          <cell r="A25" t="str">
            <v>國際農業中心</v>
          </cell>
          <cell r="B25">
            <v>2</v>
          </cell>
        </row>
        <row r="26">
          <cell r="A26" t="str">
            <v>教務處</v>
          </cell>
          <cell r="B26">
            <v>93</v>
          </cell>
        </row>
        <row r="27">
          <cell r="A27" t="str">
            <v>理學院</v>
          </cell>
          <cell r="B27">
            <v>151</v>
          </cell>
        </row>
        <row r="28">
          <cell r="A28" t="str">
            <v>產學研鏈結中心</v>
          </cell>
          <cell r="B28">
            <v>29</v>
          </cell>
        </row>
        <row r="29">
          <cell r="A29" t="str">
            <v>創新產業暨國際學院</v>
          </cell>
          <cell r="B29">
            <v>25</v>
          </cell>
        </row>
        <row r="30">
          <cell r="A30" t="str">
            <v>循環經濟研究學院</v>
          </cell>
          <cell r="B30">
            <v>21</v>
          </cell>
        </row>
        <row r="31">
          <cell r="A31" t="str">
            <v>智慧運輸發展中心</v>
          </cell>
          <cell r="B31">
            <v>2</v>
          </cell>
        </row>
        <row r="32">
          <cell r="A32" t="str">
            <v>資通安全研究與教學中心</v>
          </cell>
          <cell r="B32">
            <v>3</v>
          </cell>
        </row>
        <row r="33">
          <cell r="A33" t="str">
            <v>農產品驗證中心</v>
          </cell>
          <cell r="B33">
            <v>27</v>
          </cell>
        </row>
        <row r="34">
          <cell r="A34" t="str">
            <v>農業暨自然資源學院</v>
          </cell>
          <cell r="B34">
            <v>668</v>
          </cell>
        </row>
        <row r="35">
          <cell r="A35" t="str">
            <v>電機資訊學院</v>
          </cell>
          <cell r="B35">
            <v>99</v>
          </cell>
        </row>
        <row r="36">
          <cell r="A36" t="str">
            <v>圖書館</v>
          </cell>
          <cell r="B36">
            <v>38</v>
          </cell>
        </row>
        <row r="37">
          <cell r="A37" t="str">
            <v>管理學院</v>
          </cell>
          <cell r="B37">
            <v>165</v>
          </cell>
        </row>
        <row r="38">
          <cell r="A38" t="str">
            <v>學生事務處</v>
          </cell>
          <cell r="B38">
            <v>77</v>
          </cell>
        </row>
        <row r="39">
          <cell r="A39" t="str">
            <v>學程學院</v>
          </cell>
          <cell r="B39">
            <v>1</v>
          </cell>
        </row>
        <row r="40">
          <cell r="A40" t="str">
            <v>環境保育暨防災科技研究中心</v>
          </cell>
          <cell r="B40">
            <v>1</v>
          </cell>
        </row>
        <row r="41">
          <cell r="A41" t="str">
            <v>環境保護暨安全衛生中心</v>
          </cell>
          <cell r="B41">
            <v>14</v>
          </cell>
        </row>
        <row r="42">
          <cell r="A42" t="str">
            <v>環境教育暨永續科技研發中心</v>
          </cell>
          <cell r="B42">
            <v>2</v>
          </cell>
        </row>
        <row r="43">
          <cell r="A43" t="str">
            <v>總務處</v>
          </cell>
          <cell r="B43">
            <v>50</v>
          </cell>
        </row>
        <row r="44">
          <cell r="A44" t="str">
            <v>醫學院</v>
          </cell>
          <cell r="B44">
            <v>126</v>
          </cell>
        </row>
        <row r="45">
          <cell r="A45" t="str">
            <v>獸醫學院</v>
          </cell>
          <cell r="B45">
            <v>164</v>
          </cell>
        </row>
        <row r="46">
          <cell r="A46" t="str">
            <v>藝術中心</v>
          </cell>
          <cell r="B46">
            <v>1</v>
          </cell>
        </row>
        <row r="47">
          <cell r="A47" t="str">
            <v>體育室</v>
          </cell>
          <cell r="B47">
            <v>22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身障分析"/>
      <sheetName val="身障名單"/>
      <sheetName val="單位人數分析"/>
      <sheetName val="公勞保名冊"/>
      <sheetName val="勞保(刪除重覆及工友)"/>
      <sheetName val="公保名冊(刪除教官,稀科,駐警)"/>
      <sheetName val="稀科(1),駐警(8)"/>
      <sheetName val="工友(40)"/>
    </sheetNames>
    <sheetDataSet>
      <sheetData sheetId="2">
        <row r="4">
          <cell r="A4" t="str">
            <v>一級單位</v>
          </cell>
          <cell r="B4" t="str">
            <v>合計</v>
          </cell>
        </row>
        <row r="5">
          <cell r="A5" t="str">
            <v>人文社會科學前瞻研究中心</v>
          </cell>
          <cell r="B5">
            <v>5</v>
          </cell>
          <cell r="C5">
            <v>5</v>
          </cell>
        </row>
        <row r="6">
          <cell r="A6" t="str">
            <v>人事室</v>
          </cell>
          <cell r="B6">
            <v>26</v>
          </cell>
          <cell r="C6">
            <v>26</v>
          </cell>
        </row>
        <row r="7">
          <cell r="A7" t="str">
            <v>工學院</v>
          </cell>
          <cell r="B7">
            <v>254</v>
          </cell>
          <cell r="C7">
            <v>253</v>
          </cell>
        </row>
        <row r="8">
          <cell r="A8" t="str">
            <v>中興新村校區籌備處</v>
          </cell>
          <cell r="B8">
            <v>1</v>
          </cell>
          <cell r="C8">
            <v>1</v>
          </cell>
        </row>
        <row r="9">
          <cell r="A9" t="str">
            <v>文學院</v>
          </cell>
          <cell r="B9">
            <v>208</v>
          </cell>
          <cell r="C9">
            <v>207</v>
          </cell>
        </row>
        <row r="10">
          <cell r="A10" t="str">
            <v>主計室</v>
          </cell>
          <cell r="B10">
            <v>32</v>
          </cell>
          <cell r="C10">
            <v>32</v>
          </cell>
        </row>
        <row r="11">
          <cell r="A11" t="str">
            <v>生命科學院</v>
          </cell>
          <cell r="B11">
            <v>140</v>
          </cell>
          <cell r="C11">
            <v>140</v>
          </cell>
        </row>
        <row r="12">
          <cell r="A12" t="str">
            <v>生物科技發展中心</v>
          </cell>
          <cell r="B12">
            <v>31</v>
          </cell>
          <cell r="C12">
            <v>31</v>
          </cell>
        </row>
        <row r="13">
          <cell r="A13" t="str">
            <v>法政學院</v>
          </cell>
          <cell r="B13">
            <v>58</v>
          </cell>
          <cell r="C13">
            <v>58</v>
          </cell>
        </row>
        <row r="14">
          <cell r="A14" t="str">
            <v>前瞻理工科技研究中心</v>
          </cell>
          <cell r="B14">
            <v>2</v>
          </cell>
          <cell r="C14">
            <v>2</v>
          </cell>
        </row>
        <row r="15">
          <cell r="A15" t="str">
            <v>研究發展處</v>
          </cell>
          <cell r="B15">
            <v>46</v>
          </cell>
          <cell r="C15">
            <v>46</v>
          </cell>
        </row>
        <row r="16">
          <cell r="A16" t="str">
            <v>計算機及資訊網路中心</v>
          </cell>
          <cell r="B16">
            <v>37</v>
          </cell>
          <cell r="C16">
            <v>37</v>
          </cell>
        </row>
        <row r="17">
          <cell r="A17" t="str">
            <v>師資培育中心</v>
          </cell>
          <cell r="B17">
            <v>3</v>
          </cell>
          <cell r="C17">
            <v>3</v>
          </cell>
        </row>
        <row r="18">
          <cell r="A18" t="str">
            <v>校友中心</v>
          </cell>
          <cell r="B18">
            <v>4</v>
          </cell>
          <cell r="C18">
            <v>4</v>
          </cell>
        </row>
        <row r="19">
          <cell r="A19" t="str">
            <v>校長室</v>
          </cell>
          <cell r="B19">
            <v>6</v>
          </cell>
          <cell r="C19">
            <v>6</v>
          </cell>
        </row>
        <row r="20">
          <cell r="A20" t="str">
            <v>秘書室</v>
          </cell>
          <cell r="B20">
            <v>23</v>
          </cell>
          <cell r="C20">
            <v>23</v>
          </cell>
        </row>
        <row r="21">
          <cell r="A21" t="str">
            <v>副校長室</v>
          </cell>
          <cell r="B21">
            <v>4</v>
          </cell>
          <cell r="C21">
            <v>4</v>
          </cell>
        </row>
        <row r="22">
          <cell r="A22" t="str">
            <v>動物醫學研究中心</v>
          </cell>
          <cell r="B22">
            <v>11</v>
          </cell>
          <cell r="C22">
            <v>11</v>
          </cell>
        </row>
        <row r="23">
          <cell r="A23" t="str">
            <v>國防關鍵系統研究發展中心</v>
          </cell>
          <cell r="B23">
            <v>6</v>
          </cell>
          <cell r="C23">
            <v>6</v>
          </cell>
        </row>
        <row r="24">
          <cell r="A24" t="str">
            <v>國際事務處</v>
          </cell>
          <cell r="B24">
            <v>22</v>
          </cell>
          <cell r="C24">
            <v>22</v>
          </cell>
        </row>
        <row r="25">
          <cell r="A25" t="str">
            <v>國際農業中心</v>
          </cell>
          <cell r="B25">
            <v>1</v>
          </cell>
          <cell r="C25">
            <v>1</v>
          </cell>
        </row>
        <row r="26">
          <cell r="A26" t="str">
            <v>教務處</v>
          </cell>
          <cell r="B26">
            <v>104</v>
          </cell>
          <cell r="C26">
            <v>103.5</v>
          </cell>
        </row>
        <row r="27">
          <cell r="A27" t="str">
            <v>理學院</v>
          </cell>
          <cell r="B27">
            <v>153</v>
          </cell>
          <cell r="C27">
            <v>151.5</v>
          </cell>
        </row>
        <row r="28">
          <cell r="A28" t="str">
            <v>產學研鏈結中心</v>
          </cell>
          <cell r="B28">
            <v>23</v>
          </cell>
          <cell r="C28">
            <v>23</v>
          </cell>
        </row>
        <row r="29">
          <cell r="A29" t="str">
            <v>創新產業暨國際學院</v>
          </cell>
          <cell r="B29">
            <v>27</v>
          </cell>
          <cell r="C29">
            <v>27</v>
          </cell>
        </row>
        <row r="30">
          <cell r="A30" t="str">
            <v>循環經濟研究學院</v>
          </cell>
          <cell r="B30">
            <v>23</v>
          </cell>
          <cell r="C30">
            <v>23</v>
          </cell>
        </row>
        <row r="31">
          <cell r="A31" t="str">
            <v>智慧運輸發展中心</v>
          </cell>
          <cell r="B31">
            <v>1</v>
          </cell>
          <cell r="C31">
            <v>1</v>
          </cell>
        </row>
        <row r="32">
          <cell r="A32" t="str">
            <v>資通安全研究與教學中心</v>
          </cell>
          <cell r="B32">
            <v>1</v>
          </cell>
          <cell r="C32">
            <v>1</v>
          </cell>
        </row>
        <row r="33">
          <cell r="A33" t="str">
            <v>農產品驗證中心</v>
          </cell>
          <cell r="B33">
            <v>25</v>
          </cell>
          <cell r="C33">
            <v>25</v>
          </cell>
        </row>
        <row r="34">
          <cell r="A34" t="str">
            <v>農業暨自然資源學院</v>
          </cell>
          <cell r="B34">
            <v>640</v>
          </cell>
          <cell r="C34">
            <v>638.5</v>
          </cell>
        </row>
        <row r="35">
          <cell r="A35" t="str">
            <v>電機資訊學院</v>
          </cell>
          <cell r="B35">
            <v>101</v>
          </cell>
          <cell r="C35">
            <v>100</v>
          </cell>
        </row>
        <row r="36">
          <cell r="A36" t="str">
            <v>圖書館</v>
          </cell>
          <cell r="B36">
            <v>43</v>
          </cell>
          <cell r="C36">
            <v>43</v>
          </cell>
        </row>
        <row r="37">
          <cell r="A37" t="str">
            <v>管理學院</v>
          </cell>
          <cell r="B37">
            <v>186</v>
          </cell>
          <cell r="C37">
            <v>185.5</v>
          </cell>
        </row>
        <row r="38">
          <cell r="A38" t="str">
            <v>學生事務處</v>
          </cell>
          <cell r="B38">
            <v>80</v>
          </cell>
          <cell r="C38">
            <v>80</v>
          </cell>
        </row>
        <row r="39">
          <cell r="A39" t="str">
            <v>學程學院</v>
          </cell>
          <cell r="B39">
            <v>1</v>
          </cell>
          <cell r="C39">
            <v>1</v>
          </cell>
        </row>
        <row r="40">
          <cell r="A40" t="str">
            <v>環境保育暨防災科技研究中心</v>
          </cell>
          <cell r="B40">
            <v>1</v>
          </cell>
          <cell r="C40">
            <v>1</v>
          </cell>
        </row>
        <row r="41">
          <cell r="A41" t="str">
            <v>環境保護暨安全衛生中心</v>
          </cell>
          <cell r="B41">
            <v>17</v>
          </cell>
          <cell r="C41">
            <v>17</v>
          </cell>
        </row>
        <row r="42">
          <cell r="A42" t="str">
            <v>環境教育暨永續科技研發中心</v>
          </cell>
          <cell r="B42">
            <v>2</v>
          </cell>
          <cell r="C42">
            <v>2</v>
          </cell>
        </row>
        <row r="43">
          <cell r="A43" t="str">
            <v>總務處</v>
          </cell>
          <cell r="B43">
            <v>54</v>
          </cell>
          <cell r="C43">
            <v>54</v>
          </cell>
        </row>
        <row r="44">
          <cell r="A44" t="str">
            <v>醫學院</v>
          </cell>
          <cell r="B44">
            <v>139</v>
          </cell>
          <cell r="C44">
            <v>139</v>
          </cell>
        </row>
        <row r="45">
          <cell r="A45" t="str">
            <v>獸醫學院</v>
          </cell>
          <cell r="B45">
            <v>167</v>
          </cell>
          <cell r="C45">
            <v>167</v>
          </cell>
        </row>
        <row r="46">
          <cell r="A46" t="str">
            <v>藝術中心</v>
          </cell>
          <cell r="B46">
            <v>1</v>
          </cell>
          <cell r="C46">
            <v>1</v>
          </cell>
        </row>
        <row r="47">
          <cell r="A47" t="str">
            <v>體育室</v>
          </cell>
          <cell r="B47">
            <v>22</v>
          </cell>
          <cell r="C47">
            <v>21.5</v>
          </cell>
        </row>
        <row r="48">
          <cell r="A48" t="str">
            <v>總計</v>
          </cell>
          <cell r="B48">
            <v>2731</v>
          </cell>
          <cell r="C48">
            <v>2723.5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單位身障人數"/>
      <sheetName val="身障名冊"/>
      <sheetName val="各類職稱人數"/>
      <sheetName val="各一級單位人數"/>
      <sheetName val="公勞保名冊 (不含教官及留停人員)"/>
      <sheetName val="公勞保名冊 (不含教官及留停人員) (2672)"/>
      <sheetName val="各單位人數(2672)"/>
      <sheetName val="勞保名冊"/>
      <sheetName val="駐警"/>
      <sheetName val="技工工友"/>
      <sheetName val="公保名冊"/>
      <sheetName val="公保名冊 (不含教官及留停人員)"/>
    </sheetNames>
    <sheetDataSet>
      <sheetData sheetId="6">
        <row r="5">
          <cell r="A5" t="str">
            <v>人文社會科學前瞻研究中心</v>
          </cell>
          <cell r="B5">
            <v>6</v>
          </cell>
        </row>
        <row r="6">
          <cell r="A6" t="str">
            <v>人事室</v>
          </cell>
          <cell r="B6">
            <v>31</v>
          </cell>
        </row>
        <row r="7">
          <cell r="A7" t="str">
            <v>大數據中心</v>
          </cell>
          <cell r="B7">
            <v>1</v>
          </cell>
        </row>
        <row r="8">
          <cell r="A8" t="str">
            <v>工學院</v>
          </cell>
          <cell r="B8">
            <v>246</v>
          </cell>
        </row>
        <row r="9">
          <cell r="A9" t="str">
            <v>中興新村校區籌備處</v>
          </cell>
          <cell r="B9">
            <v>1</v>
          </cell>
        </row>
        <row r="10">
          <cell r="A10" t="str">
            <v>文學院</v>
          </cell>
          <cell r="B10">
            <v>199</v>
          </cell>
        </row>
        <row r="11">
          <cell r="A11" t="str">
            <v>主計室</v>
          </cell>
          <cell r="B11">
            <v>29</v>
          </cell>
        </row>
        <row r="12">
          <cell r="A12" t="str">
            <v>生命科學院</v>
          </cell>
          <cell r="B12">
            <v>151</v>
          </cell>
        </row>
        <row r="13">
          <cell r="A13" t="str">
            <v>生物科技發展中心</v>
          </cell>
          <cell r="B13">
            <v>26</v>
          </cell>
        </row>
        <row r="14">
          <cell r="A14" t="str">
            <v>法政學院</v>
          </cell>
          <cell r="B14">
            <v>58</v>
          </cell>
        </row>
        <row r="15">
          <cell r="A15" t="str">
            <v>前瞻理工科技研究中心</v>
          </cell>
          <cell r="B15">
            <v>5</v>
          </cell>
        </row>
        <row r="16">
          <cell r="A16" t="str">
            <v>研究發展處</v>
          </cell>
          <cell r="B16">
            <v>44</v>
          </cell>
        </row>
        <row r="17">
          <cell r="A17" t="str">
            <v>計資中心</v>
          </cell>
          <cell r="B17">
            <v>34</v>
          </cell>
        </row>
        <row r="18">
          <cell r="A18" t="str">
            <v>師資培育中心</v>
          </cell>
          <cell r="B18">
            <v>2</v>
          </cell>
        </row>
        <row r="19">
          <cell r="A19" t="str">
            <v>校長室</v>
          </cell>
          <cell r="B19">
            <v>3</v>
          </cell>
        </row>
        <row r="20">
          <cell r="A20" t="str">
            <v>秘書室</v>
          </cell>
          <cell r="B20">
            <v>28</v>
          </cell>
        </row>
        <row r="21">
          <cell r="A21" t="str">
            <v>副校長室</v>
          </cell>
          <cell r="B21">
            <v>2</v>
          </cell>
        </row>
        <row r="22">
          <cell r="A22" t="str">
            <v>動物醫學研究中心</v>
          </cell>
          <cell r="B22">
            <v>14</v>
          </cell>
        </row>
        <row r="23">
          <cell r="A23" t="str">
            <v>國防關鍵系統研究發展中心</v>
          </cell>
          <cell r="B23">
            <v>5</v>
          </cell>
        </row>
        <row r="24">
          <cell r="A24" t="str">
            <v>國際事務處</v>
          </cell>
          <cell r="B24">
            <v>19</v>
          </cell>
        </row>
        <row r="25">
          <cell r="A25" t="str">
            <v>國際農業中心</v>
          </cell>
          <cell r="B25">
            <v>2</v>
          </cell>
        </row>
        <row r="26">
          <cell r="A26" t="str">
            <v>教務處</v>
          </cell>
          <cell r="B26">
            <v>89</v>
          </cell>
        </row>
        <row r="27">
          <cell r="A27" t="str">
            <v>理學院</v>
          </cell>
          <cell r="B27">
            <v>143</v>
          </cell>
        </row>
        <row r="28">
          <cell r="A28" t="str">
            <v>產學研鏈結中心</v>
          </cell>
          <cell r="B28">
            <v>29</v>
          </cell>
        </row>
        <row r="29">
          <cell r="A29" t="str">
            <v>創新產業暨國際學院</v>
          </cell>
          <cell r="B29">
            <v>25</v>
          </cell>
        </row>
        <row r="30">
          <cell r="A30" t="str">
            <v>循環經濟研究學院</v>
          </cell>
          <cell r="B30">
            <v>21</v>
          </cell>
        </row>
        <row r="31">
          <cell r="A31" t="str">
            <v>智慧運輸發展中心</v>
          </cell>
          <cell r="B31">
            <v>4</v>
          </cell>
        </row>
        <row r="32">
          <cell r="A32" t="str">
            <v>資通安全研究與教學中心</v>
          </cell>
          <cell r="B32">
            <v>2</v>
          </cell>
        </row>
        <row r="33">
          <cell r="A33" t="str">
            <v>農產品驗證中心</v>
          </cell>
          <cell r="B33">
            <v>27</v>
          </cell>
        </row>
        <row r="34">
          <cell r="A34" t="str">
            <v>農業暨自然資源學院</v>
          </cell>
          <cell r="B34">
            <v>654</v>
          </cell>
        </row>
        <row r="35">
          <cell r="A35" t="str">
            <v>電機資訊學院</v>
          </cell>
          <cell r="B35">
            <v>101</v>
          </cell>
        </row>
        <row r="36">
          <cell r="A36" t="str">
            <v>圖書館</v>
          </cell>
          <cell r="B36">
            <v>41</v>
          </cell>
        </row>
        <row r="37">
          <cell r="A37" t="str">
            <v>管理學院</v>
          </cell>
          <cell r="B37">
            <v>164</v>
          </cell>
        </row>
        <row r="38">
          <cell r="A38" t="str">
            <v>學生事務處</v>
          </cell>
          <cell r="B38">
            <v>97</v>
          </cell>
        </row>
        <row r="39">
          <cell r="A39" t="str">
            <v>學程學院</v>
          </cell>
          <cell r="B39">
            <v>1</v>
          </cell>
        </row>
        <row r="40">
          <cell r="A40" t="str">
            <v>環境保育暨防災科技研究中心</v>
          </cell>
          <cell r="B40">
            <v>1</v>
          </cell>
        </row>
        <row r="41">
          <cell r="A41" t="str">
            <v>環安中心</v>
          </cell>
          <cell r="B41">
            <v>14</v>
          </cell>
        </row>
        <row r="42">
          <cell r="A42" t="str">
            <v>環境教育暨永續科技研發中心</v>
          </cell>
          <cell r="B42">
            <v>1</v>
          </cell>
        </row>
        <row r="43">
          <cell r="A43" t="str">
            <v>總務處</v>
          </cell>
          <cell r="B43">
            <v>51</v>
          </cell>
        </row>
        <row r="44">
          <cell r="A44" t="str">
            <v>醫學院</v>
          </cell>
          <cell r="B44">
            <v>124</v>
          </cell>
        </row>
        <row r="45">
          <cell r="A45" t="str">
            <v>獸醫學院</v>
          </cell>
          <cell r="B45">
            <v>159</v>
          </cell>
        </row>
        <row r="46">
          <cell r="A46" t="str">
            <v>藝術中心</v>
          </cell>
          <cell r="B46">
            <v>1</v>
          </cell>
        </row>
        <row r="47">
          <cell r="A47" t="str">
            <v>體育室</v>
          </cell>
          <cell r="B47">
            <v>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身障分析"/>
      <sheetName val="身障名冊"/>
      <sheetName val="各單位人數"/>
      <sheetName val="公勞保名冊"/>
      <sheetName val="公務人員 (167)"/>
      <sheetName val="工友(42)"/>
      <sheetName val="駐警(9)"/>
      <sheetName val="勞保名單"/>
      <sheetName val="公保名單"/>
      <sheetName val="勞保名單 (不含工友 留停 臨時專任)"/>
      <sheetName val="公保名單 (不含教官駐警稀科留停)"/>
    </sheetNames>
    <sheetDataSet>
      <sheetData sheetId="2">
        <row r="3">
          <cell r="A3" t="str">
            <v>計數 - 姓名</v>
          </cell>
        </row>
        <row r="4">
          <cell r="A4" t="str">
            <v>一級單位</v>
          </cell>
          <cell r="B4" t="str">
            <v>合計</v>
          </cell>
        </row>
        <row r="5">
          <cell r="A5" t="str">
            <v>人文社會科學前瞻研究中心</v>
          </cell>
          <cell r="B5">
            <v>6</v>
          </cell>
        </row>
        <row r="6">
          <cell r="A6" t="str">
            <v>人事室</v>
          </cell>
          <cell r="B6">
            <v>32</v>
          </cell>
        </row>
        <row r="7">
          <cell r="A7" t="str">
            <v>工學院</v>
          </cell>
          <cell r="B7">
            <v>260</v>
          </cell>
        </row>
        <row r="8">
          <cell r="A8" t="str">
            <v>中興新村校區籌備處</v>
          </cell>
          <cell r="B8">
            <v>1</v>
          </cell>
        </row>
        <row r="9">
          <cell r="A9" t="str">
            <v>文學院</v>
          </cell>
          <cell r="B9">
            <v>210</v>
          </cell>
        </row>
        <row r="10">
          <cell r="A10" t="str">
            <v>主計室</v>
          </cell>
          <cell r="B10">
            <v>30</v>
          </cell>
        </row>
        <row r="11">
          <cell r="A11" t="str">
            <v>生命科學院</v>
          </cell>
          <cell r="B11">
            <v>155</v>
          </cell>
        </row>
        <row r="12">
          <cell r="A12" t="str">
            <v>生物科技發展中心</v>
          </cell>
          <cell r="B12">
            <v>28</v>
          </cell>
        </row>
        <row r="13">
          <cell r="A13" t="str">
            <v>法政學院</v>
          </cell>
          <cell r="B13">
            <v>61</v>
          </cell>
        </row>
        <row r="14">
          <cell r="A14" t="str">
            <v>前瞻理工科技研究中心</v>
          </cell>
          <cell r="B14">
            <v>4</v>
          </cell>
        </row>
        <row r="15">
          <cell r="A15" t="str">
            <v>研究發展處</v>
          </cell>
          <cell r="B15">
            <v>43</v>
          </cell>
        </row>
        <row r="16">
          <cell r="A16" t="str">
            <v>計算機及資訊網路中心</v>
          </cell>
          <cell r="B16">
            <v>35</v>
          </cell>
        </row>
        <row r="17">
          <cell r="A17" t="str">
            <v>師資培育中心</v>
          </cell>
          <cell r="B17">
            <v>2</v>
          </cell>
        </row>
        <row r="18">
          <cell r="A18" t="str">
            <v>校長室</v>
          </cell>
          <cell r="B18">
            <v>3</v>
          </cell>
        </row>
        <row r="19">
          <cell r="A19" t="str">
            <v>秘書室</v>
          </cell>
          <cell r="B19">
            <v>28</v>
          </cell>
        </row>
        <row r="20">
          <cell r="A20" t="str">
            <v>副校長室</v>
          </cell>
          <cell r="B20">
            <v>3</v>
          </cell>
        </row>
        <row r="21">
          <cell r="A21" t="str">
            <v>動物醫學研究中心</v>
          </cell>
          <cell r="B21">
            <v>13</v>
          </cell>
        </row>
        <row r="22">
          <cell r="A22" t="str">
            <v>國防關鍵系統研究發展中心</v>
          </cell>
          <cell r="B22">
            <v>6</v>
          </cell>
        </row>
        <row r="23">
          <cell r="A23" t="str">
            <v>國際事務處</v>
          </cell>
          <cell r="B23">
            <v>19</v>
          </cell>
        </row>
        <row r="24">
          <cell r="A24" t="str">
            <v>國際農業中心</v>
          </cell>
          <cell r="B24">
            <v>2</v>
          </cell>
        </row>
        <row r="25">
          <cell r="A25" t="str">
            <v>教務處</v>
          </cell>
          <cell r="B25">
            <v>99</v>
          </cell>
        </row>
        <row r="26">
          <cell r="A26" t="str">
            <v>理學院</v>
          </cell>
          <cell r="B26">
            <v>162</v>
          </cell>
        </row>
        <row r="27">
          <cell r="A27" t="str">
            <v>產學研鏈結中心</v>
          </cell>
          <cell r="B27">
            <v>28</v>
          </cell>
        </row>
        <row r="28">
          <cell r="A28" t="str">
            <v>創新產業暨國際學院</v>
          </cell>
          <cell r="B28">
            <v>26</v>
          </cell>
        </row>
        <row r="29">
          <cell r="A29" t="str">
            <v>循環經濟研究學院</v>
          </cell>
          <cell r="B29">
            <v>21</v>
          </cell>
        </row>
        <row r="30">
          <cell r="A30" t="str">
            <v>智慧運輸發展中心</v>
          </cell>
          <cell r="B30">
            <v>12</v>
          </cell>
        </row>
        <row r="31">
          <cell r="A31" t="str">
            <v>資通安全研究與教學中心</v>
          </cell>
          <cell r="B31">
            <v>2</v>
          </cell>
        </row>
        <row r="32">
          <cell r="A32" t="str">
            <v>農產品驗證中心</v>
          </cell>
          <cell r="B32">
            <v>32</v>
          </cell>
        </row>
        <row r="33">
          <cell r="A33" t="str">
            <v>農業暨自然資源學院</v>
          </cell>
          <cell r="B33">
            <v>727</v>
          </cell>
        </row>
        <row r="34">
          <cell r="A34" t="str">
            <v>電機資訊學院</v>
          </cell>
          <cell r="B34">
            <v>104</v>
          </cell>
        </row>
        <row r="35">
          <cell r="A35" t="str">
            <v>圖書館</v>
          </cell>
          <cell r="B35">
            <v>39</v>
          </cell>
        </row>
        <row r="36">
          <cell r="A36" t="str">
            <v>管理學院</v>
          </cell>
          <cell r="B36">
            <v>231</v>
          </cell>
        </row>
        <row r="37">
          <cell r="A37" t="str">
            <v>學生事務處</v>
          </cell>
          <cell r="B37">
            <v>92</v>
          </cell>
        </row>
        <row r="38">
          <cell r="A38" t="str">
            <v>學程學院</v>
          </cell>
          <cell r="B38">
            <v>2</v>
          </cell>
        </row>
        <row r="39">
          <cell r="A39" t="str">
            <v>環境保育暨防災科技研究中心</v>
          </cell>
          <cell r="B39">
            <v>3</v>
          </cell>
        </row>
        <row r="40">
          <cell r="A40" t="str">
            <v>環境保護暨安全衛生中心</v>
          </cell>
          <cell r="B40">
            <v>16</v>
          </cell>
        </row>
        <row r="41">
          <cell r="A41" t="str">
            <v>總務處</v>
          </cell>
          <cell r="B41">
            <v>48</v>
          </cell>
        </row>
        <row r="42">
          <cell r="A42" t="str">
            <v>醫學院</v>
          </cell>
          <cell r="B42">
            <v>127</v>
          </cell>
        </row>
        <row r="43">
          <cell r="A43" t="str">
            <v>獸醫學院</v>
          </cell>
          <cell r="B43">
            <v>170</v>
          </cell>
        </row>
        <row r="44">
          <cell r="A44" t="str">
            <v>藝術中心</v>
          </cell>
          <cell r="B44">
            <v>1</v>
          </cell>
        </row>
        <row r="45">
          <cell r="A45" t="str">
            <v>體育室</v>
          </cell>
          <cell r="B45">
            <v>22</v>
          </cell>
        </row>
        <row r="46">
          <cell r="A46" t="str">
            <v>(空白)</v>
          </cell>
        </row>
        <row r="47">
          <cell r="A47" t="str">
            <v>總計</v>
          </cell>
          <cell r="B47">
            <v>2905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各一級人數"/>
      <sheetName val="各一級人數(更新)"/>
      <sheetName val="公勞保合計"/>
      <sheetName val="公務人員"/>
      <sheetName val="身障分析"/>
      <sheetName val="身障名冊"/>
      <sheetName val="勞保 (扣除工友留停臨時專任重複)"/>
      <sheetName val="公保 (扣除教官駐警稀科留停)"/>
      <sheetName val="勞保"/>
      <sheetName val="公保"/>
      <sheetName val="駐警(9)稀科(1)"/>
      <sheetName val="工友(42)"/>
    </sheetNames>
    <sheetDataSet>
      <sheetData sheetId="0">
        <row r="4">
          <cell r="A4" t="str">
            <v>一級單位</v>
          </cell>
          <cell r="B4" t="str">
            <v>合計</v>
          </cell>
        </row>
        <row r="5">
          <cell r="A5" t="str">
            <v>人文社會科學前瞻研究中心</v>
          </cell>
          <cell r="B5">
            <v>4</v>
          </cell>
        </row>
        <row r="6">
          <cell r="A6" t="str">
            <v>人事室</v>
          </cell>
          <cell r="B6">
            <v>31</v>
          </cell>
        </row>
        <row r="7">
          <cell r="A7" t="str">
            <v>工學院</v>
          </cell>
          <cell r="B7">
            <v>250</v>
          </cell>
        </row>
        <row r="8">
          <cell r="A8" t="str">
            <v>中興新村校區籌備處</v>
          </cell>
          <cell r="B8">
            <v>1</v>
          </cell>
        </row>
        <row r="9">
          <cell r="A9" t="str">
            <v>文學院</v>
          </cell>
          <cell r="B9">
            <v>207</v>
          </cell>
        </row>
        <row r="10">
          <cell r="A10" t="str">
            <v>主計室</v>
          </cell>
          <cell r="B10">
            <v>30</v>
          </cell>
        </row>
        <row r="11">
          <cell r="A11" t="str">
            <v>生命科學院</v>
          </cell>
          <cell r="B11">
            <v>146</v>
          </cell>
        </row>
        <row r="12">
          <cell r="A12" t="str">
            <v>生物科技發展中心</v>
          </cell>
          <cell r="B12">
            <v>33</v>
          </cell>
        </row>
        <row r="13">
          <cell r="A13" t="str">
            <v>法政學院</v>
          </cell>
          <cell r="B13">
            <v>64</v>
          </cell>
        </row>
        <row r="14">
          <cell r="A14" t="str">
            <v>前瞻理工科技研究中心</v>
          </cell>
          <cell r="B14">
            <v>4</v>
          </cell>
        </row>
        <row r="15">
          <cell r="A15" t="str">
            <v>研究發展處</v>
          </cell>
          <cell r="B15">
            <v>46</v>
          </cell>
        </row>
        <row r="16">
          <cell r="A16" t="str">
            <v>計算機及資訊網路中心</v>
          </cell>
          <cell r="B16">
            <v>35</v>
          </cell>
        </row>
        <row r="17">
          <cell r="A17" t="str">
            <v>師資培育中心</v>
          </cell>
          <cell r="B17">
            <v>4</v>
          </cell>
        </row>
        <row r="18">
          <cell r="A18" t="str">
            <v>校友中心</v>
          </cell>
          <cell r="B18">
            <v>4</v>
          </cell>
        </row>
        <row r="19">
          <cell r="A19" t="str">
            <v>校本部</v>
          </cell>
          <cell r="B19">
            <v>31</v>
          </cell>
        </row>
        <row r="20">
          <cell r="A20" t="str">
            <v>校長室</v>
          </cell>
          <cell r="B20">
            <v>3</v>
          </cell>
        </row>
        <row r="21">
          <cell r="A21" t="str">
            <v>秘書室</v>
          </cell>
          <cell r="B21">
            <v>24</v>
          </cell>
        </row>
        <row r="22">
          <cell r="A22" t="str">
            <v>副校長室</v>
          </cell>
          <cell r="B22">
            <v>3</v>
          </cell>
        </row>
        <row r="23">
          <cell r="A23" t="str">
            <v>動物醫學研究中心</v>
          </cell>
          <cell r="B23">
            <v>14</v>
          </cell>
        </row>
        <row r="24">
          <cell r="A24" t="str">
            <v>國防關鍵系統研究發展中心</v>
          </cell>
          <cell r="B24">
            <v>6</v>
          </cell>
        </row>
        <row r="25">
          <cell r="A25" t="str">
            <v>國際事務處</v>
          </cell>
          <cell r="B25">
            <v>19</v>
          </cell>
        </row>
        <row r="26">
          <cell r="A26" t="str">
            <v>國際農業中心</v>
          </cell>
          <cell r="B26">
            <v>2</v>
          </cell>
        </row>
        <row r="27">
          <cell r="A27" t="str">
            <v>教務處</v>
          </cell>
          <cell r="B27">
            <v>116</v>
          </cell>
        </row>
        <row r="28">
          <cell r="A28" t="str">
            <v>理學院</v>
          </cell>
          <cell r="B28">
            <v>152</v>
          </cell>
        </row>
        <row r="29">
          <cell r="A29" t="str">
            <v>產學研鏈結中心</v>
          </cell>
          <cell r="B29">
            <v>25</v>
          </cell>
        </row>
        <row r="30">
          <cell r="A30" t="str">
            <v>創新產業暨國際學院</v>
          </cell>
          <cell r="B30">
            <v>24</v>
          </cell>
        </row>
        <row r="31">
          <cell r="A31" t="str">
            <v>循環經濟研究學院</v>
          </cell>
          <cell r="B31">
            <v>21</v>
          </cell>
        </row>
        <row r="32">
          <cell r="A32" t="str">
            <v>智慧運輸發展中心</v>
          </cell>
          <cell r="B32">
            <v>1</v>
          </cell>
        </row>
        <row r="33">
          <cell r="A33" t="str">
            <v>資通安全研究與教學中心</v>
          </cell>
          <cell r="B33">
            <v>3</v>
          </cell>
        </row>
        <row r="34">
          <cell r="A34" t="str">
            <v>農產品驗證中心</v>
          </cell>
          <cell r="B34">
            <v>32</v>
          </cell>
        </row>
        <row r="35">
          <cell r="A35" t="str">
            <v>農業暨自然資源學院</v>
          </cell>
          <cell r="B35">
            <v>720</v>
          </cell>
        </row>
        <row r="36">
          <cell r="A36" t="str">
            <v>電機資訊學院</v>
          </cell>
          <cell r="B36">
            <v>103</v>
          </cell>
        </row>
        <row r="37">
          <cell r="A37" t="str">
            <v>圖書館</v>
          </cell>
          <cell r="B37">
            <v>39</v>
          </cell>
        </row>
        <row r="38">
          <cell r="A38" t="str">
            <v>管理學院</v>
          </cell>
          <cell r="B38">
            <v>207</v>
          </cell>
        </row>
        <row r="39">
          <cell r="A39" t="str">
            <v>學生事務處</v>
          </cell>
          <cell r="B39">
            <v>86</v>
          </cell>
        </row>
        <row r="40">
          <cell r="A40" t="str">
            <v>學程學院</v>
          </cell>
          <cell r="B40">
            <v>1</v>
          </cell>
        </row>
        <row r="41">
          <cell r="A41" t="str">
            <v>環境保育暨防災科技研究中心</v>
          </cell>
          <cell r="B41">
            <v>3</v>
          </cell>
        </row>
        <row r="42">
          <cell r="A42" t="str">
            <v>環境保護暨安全衛生中心</v>
          </cell>
          <cell r="B42">
            <v>15</v>
          </cell>
        </row>
        <row r="43">
          <cell r="A43" t="str">
            <v>總務處</v>
          </cell>
          <cell r="B43">
            <v>49</v>
          </cell>
        </row>
        <row r="44">
          <cell r="A44" t="str">
            <v>醫學院</v>
          </cell>
          <cell r="B44">
            <v>130</v>
          </cell>
        </row>
        <row r="45">
          <cell r="A45" t="str">
            <v>獸醫學院</v>
          </cell>
          <cell r="B45">
            <v>165</v>
          </cell>
        </row>
        <row r="46">
          <cell r="A46" t="str">
            <v>藝術中心</v>
          </cell>
          <cell r="B46">
            <v>1</v>
          </cell>
        </row>
        <row r="47">
          <cell r="A47" t="str">
            <v>體育室</v>
          </cell>
          <cell r="B47">
            <v>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身障分析"/>
      <sheetName val="身障名冊"/>
      <sheetName val="單位人數分析"/>
      <sheetName val="公勞保名冊"/>
      <sheetName val="勞保名單(新)"/>
      <sheetName val="勞保名單(新) (扣除工友留停臨時專任重複)"/>
      <sheetName val="勞保名單"/>
      <sheetName val="勞保名單 (扣除工友留停臨時專任重複)"/>
      <sheetName val="公保名單"/>
      <sheetName val="公保名單 (扣除教官駐警稀科留停)"/>
      <sheetName val="駐警(9)"/>
      <sheetName val="工友(40)"/>
    </sheetNames>
    <sheetDataSet>
      <sheetData sheetId="2">
        <row r="5">
          <cell r="A5" t="str">
            <v>人文社會科學前瞻研究中心</v>
          </cell>
          <cell r="B5">
            <v>5</v>
          </cell>
        </row>
        <row r="6">
          <cell r="A6" t="str">
            <v>人事室</v>
          </cell>
          <cell r="B6">
            <v>28</v>
          </cell>
        </row>
        <row r="7">
          <cell r="A7" t="str">
            <v>大數據中心</v>
          </cell>
          <cell r="B7">
            <v>1</v>
          </cell>
        </row>
        <row r="8">
          <cell r="A8" t="str">
            <v>工學院</v>
          </cell>
          <cell r="B8">
            <v>220</v>
          </cell>
        </row>
        <row r="9">
          <cell r="A9" t="str">
            <v>文學院</v>
          </cell>
          <cell r="B9">
            <v>201</v>
          </cell>
        </row>
        <row r="10">
          <cell r="A10" t="str">
            <v>主計室</v>
          </cell>
          <cell r="B10">
            <v>31</v>
          </cell>
        </row>
        <row r="11">
          <cell r="A11" t="str">
            <v>生命科學院</v>
          </cell>
          <cell r="B11">
            <v>128</v>
          </cell>
        </row>
        <row r="12">
          <cell r="A12" t="str">
            <v>生物科技發展中心</v>
          </cell>
          <cell r="B12">
            <v>32</v>
          </cell>
        </row>
        <row r="13">
          <cell r="A13" t="str">
            <v>法政學院</v>
          </cell>
          <cell r="B13">
            <v>50</v>
          </cell>
        </row>
        <row r="14">
          <cell r="A14" t="str">
            <v>前瞻理工科技研究中心</v>
          </cell>
          <cell r="B14">
            <v>4</v>
          </cell>
        </row>
        <row r="15">
          <cell r="A15" t="str">
            <v>研究發展處</v>
          </cell>
          <cell r="B15">
            <v>43</v>
          </cell>
        </row>
        <row r="16">
          <cell r="A16" t="str">
            <v>計算機及資訊網路中心</v>
          </cell>
          <cell r="B16">
            <v>35</v>
          </cell>
        </row>
        <row r="17">
          <cell r="A17" t="str">
            <v>師資培育中心</v>
          </cell>
          <cell r="B17">
            <v>2</v>
          </cell>
        </row>
        <row r="18">
          <cell r="A18" t="str">
            <v>校友中心</v>
          </cell>
          <cell r="B18">
            <v>4</v>
          </cell>
        </row>
        <row r="19">
          <cell r="A19" t="str">
            <v>校長室</v>
          </cell>
          <cell r="B19">
            <v>3</v>
          </cell>
        </row>
        <row r="20">
          <cell r="A20" t="str">
            <v>秘書室</v>
          </cell>
          <cell r="B20">
            <v>26</v>
          </cell>
        </row>
        <row r="21">
          <cell r="A21" t="str">
            <v>副校長室</v>
          </cell>
          <cell r="B21">
            <v>3</v>
          </cell>
        </row>
        <row r="22">
          <cell r="A22" t="str">
            <v>動物醫學研究中心</v>
          </cell>
          <cell r="B22">
            <v>13</v>
          </cell>
        </row>
        <row r="23">
          <cell r="A23" t="str">
            <v>國防關鍵系統研究發展中心</v>
          </cell>
          <cell r="B23">
            <v>6</v>
          </cell>
        </row>
        <row r="24">
          <cell r="A24" t="str">
            <v>國際事務處</v>
          </cell>
          <cell r="B24">
            <v>17</v>
          </cell>
        </row>
        <row r="25">
          <cell r="A25" t="str">
            <v>國際農業中心</v>
          </cell>
          <cell r="B25">
            <v>1</v>
          </cell>
        </row>
        <row r="26">
          <cell r="A26" t="str">
            <v>教務處</v>
          </cell>
          <cell r="B26">
            <v>94</v>
          </cell>
        </row>
        <row r="27">
          <cell r="A27" t="str">
            <v>理學院</v>
          </cell>
          <cell r="B27">
            <v>144</v>
          </cell>
        </row>
        <row r="28">
          <cell r="A28" t="str">
            <v>產學研鏈結中心</v>
          </cell>
          <cell r="B28">
            <v>22</v>
          </cell>
        </row>
        <row r="29">
          <cell r="A29" t="str">
            <v>創新產業暨國際學院</v>
          </cell>
          <cell r="B29">
            <v>24</v>
          </cell>
        </row>
        <row r="30">
          <cell r="A30" t="str">
            <v>循環經濟研究學院</v>
          </cell>
          <cell r="B30">
            <v>23</v>
          </cell>
        </row>
        <row r="31">
          <cell r="A31" t="str">
            <v>資通安全研究與教學中心</v>
          </cell>
          <cell r="B31">
            <v>3</v>
          </cell>
        </row>
        <row r="32">
          <cell r="A32" t="str">
            <v>農產品驗證中心</v>
          </cell>
          <cell r="B32">
            <v>23</v>
          </cell>
        </row>
        <row r="33">
          <cell r="A33" t="str">
            <v>農業暨自然資源學院</v>
          </cell>
          <cell r="B33">
            <v>605</v>
          </cell>
        </row>
        <row r="34">
          <cell r="A34" t="str">
            <v>電機資訊學院</v>
          </cell>
          <cell r="B34">
            <v>86</v>
          </cell>
        </row>
        <row r="35">
          <cell r="A35" t="str">
            <v>圖書館</v>
          </cell>
          <cell r="B35">
            <v>37</v>
          </cell>
        </row>
        <row r="36">
          <cell r="A36" t="str">
            <v>管理學院</v>
          </cell>
          <cell r="B36">
            <v>154</v>
          </cell>
        </row>
        <row r="37">
          <cell r="A37" t="str">
            <v>學生事務處</v>
          </cell>
          <cell r="B37">
            <v>76</v>
          </cell>
        </row>
        <row r="38">
          <cell r="A38" t="str">
            <v>學程學院</v>
          </cell>
          <cell r="B38">
            <v>1</v>
          </cell>
        </row>
        <row r="39">
          <cell r="A39" t="str">
            <v>環境保育暨防災科技研究中心</v>
          </cell>
          <cell r="B39">
            <v>1</v>
          </cell>
        </row>
        <row r="40">
          <cell r="A40" t="str">
            <v>環境保護暨安全衛生中心</v>
          </cell>
          <cell r="B40">
            <v>12</v>
          </cell>
        </row>
        <row r="41">
          <cell r="A41" t="str">
            <v>環境教育暨永續科技研發中心</v>
          </cell>
          <cell r="B41">
            <v>2</v>
          </cell>
        </row>
        <row r="42">
          <cell r="A42" t="str">
            <v>總務處</v>
          </cell>
          <cell r="B42">
            <v>50</v>
          </cell>
        </row>
        <row r="43">
          <cell r="A43" t="str">
            <v>醫學院</v>
          </cell>
          <cell r="B43">
            <v>125</v>
          </cell>
        </row>
        <row r="44">
          <cell r="A44" t="str">
            <v>獸醫學院</v>
          </cell>
          <cell r="B44">
            <v>148</v>
          </cell>
        </row>
        <row r="45">
          <cell r="A45" t="str">
            <v>藝術中心</v>
          </cell>
          <cell r="B45">
            <v>1</v>
          </cell>
        </row>
        <row r="46">
          <cell r="A46" t="str">
            <v>體育室</v>
          </cell>
          <cell r="B46">
            <v>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工作表2"/>
      <sheetName val="身障名單"/>
      <sheetName val="單位人數分析"/>
      <sheetName val="公勞保名單"/>
      <sheetName val="勞保(已去除重複,技工友)"/>
      <sheetName val="公保(已去除教官,稀科,駐警)"/>
      <sheetName val="技工友(40)"/>
      <sheetName val="駐警(8)"/>
    </sheetNames>
    <sheetDataSet>
      <sheetData sheetId="3">
        <row r="3">
          <cell r="A3" t="str">
            <v>計數 - 姓名</v>
          </cell>
        </row>
        <row r="4">
          <cell r="A4" t="str">
            <v>一級單位</v>
          </cell>
          <cell r="B4" t="str">
            <v>合計</v>
          </cell>
        </row>
        <row r="5">
          <cell r="A5" t="str">
            <v>人文社會科學前瞻研究中心</v>
          </cell>
          <cell r="B5">
            <v>5</v>
          </cell>
        </row>
        <row r="6">
          <cell r="A6" t="str">
            <v>人事室</v>
          </cell>
          <cell r="B6">
            <v>29</v>
          </cell>
        </row>
        <row r="7">
          <cell r="A7" t="str">
            <v>大數據中心</v>
          </cell>
          <cell r="B7">
            <v>1</v>
          </cell>
        </row>
        <row r="8">
          <cell r="A8" t="str">
            <v>工學院</v>
          </cell>
          <cell r="B8">
            <v>235</v>
          </cell>
        </row>
        <row r="9">
          <cell r="A9" t="str">
            <v>文學院</v>
          </cell>
          <cell r="B9">
            <v>199</v>
          </cell>
        </row>
        <row r="10">
          <cell r="A10" t="str">
            <v>主計室</v>
          </cell>
          <cell r="B10">
            <v>31</v>
          </cell>
        </row>
        <row r="11">
          <cell r="A11" t="str">
            <v>生命科學院</v>
          </cell>
          <cell r="B11">
            <v>135</v>
          </cell>
        </row>
        <row r="12">
          <cell r="A12" t="str">
            <v>生物科技發展中心</v>
          </cell>
          <cell r="B12">
            <v>33</v>
          </cell>
        </row>
        <row r="13">
          <cell r="A13" t="str">
            <v>法政學院</v>
          </cell>
          <cell r="B13">
            <v>50</v>
          </cell>
        </row>
        <row r="14">
          <cell r="A14" t="str">
            <v>前瞻理工科技研究中心</v>
          </cell>
          <cell r="B14">
            <v>4</v>
          </cell>
        </row>
        <row r="15">
          <cell r="A15" t="str">
            <v>研究發展處</v>
          </cell>
          <cell r="B15">
            <v>43</v>
          </cell>
        </row>
        <row r="16">
          <cell r="A16" t="str">
            <v>計算機及資訊網路中心</v>
          </cell>
          <cell r="B16">
            <v>34</v>
          </cell>
        </row>
        <row r="17">
          <cell r="A17" t="str">
            <v>師資培育中心</v>
          </cell>
          <cell r="B17">
            <v>3</v>
          </cell>
        </row>
        <row r="18">
          <cell r="A18" t="str">
            <v>校友中心</v>
          </cell>
          <cell r="B18">
            <v>4</v>
          </cell>
        </row>
        <row r="19">
          <cell r="A19" t="str">
            <v>校長室</v>
          </cell>
          <cell r="B19">
            <v>3</v>
          </cell>
        </row>
        <row r="20">
          <cell r="A20" t="str">
            <v>秘書室</v>
          </cell>
          <cell r="B20">
            <v>27</v>
          </cell>
        </row>
        <row r="21">
          <cell r="A21" t="str">
            <v>副校長室</v>
          </cell>
          <cell r="B21">
            <v>3</v>
          </cell>
        </row>
        <row r="22">
          <cell r="A22" t="str">
            <v>動物醫學研究中心</v>
          </cell>
          <cell r="B22">
            <v>15</v>
          </cell>
        </row>
        <row r="23">
          <cell r="A23" t="str">
            <v>國防關鍵系統研究發展中心</v>
          </cell>
          <cell r="B23">
            <v>7</v>
          </cell>
        </row>
        <row r="24">
          <cell r="A24" t="str">
            <v>國際事務處</v>
          </cell>
          <cell r="B24">
            <v>17</v>
          </cell>
        </row>
        <row r="25">
          <cell r="A25" t="str">
            <v>國際農業中心</v>
          </cell>
          <cell r="B25">
            <v>1</v>
          </cell>
        </row>
        <row r="26">
          <cell r="A26" t="str">
            <v>教務處</v>
          </cell>
          <cell r="B26">
            <v>102</v>
          </cell>
        </row>
        <row r="27">
          <cell r="A27" t="str">
            <v>理學院</v>
          </cell>
          <cell r="B27">
            <v>151</v>
          </cell>
        </row>
        <row r="28">
          <cell r="A28" t="str">
            <v>產學研鏈結中心</v>
          </cell>
          <cell r="B28">
            <v>24</v>
          </cell>
        </row>
        <row r="29">
          <cell r="A29" t="str">
            <v>創新產業暨國際學院</v>
          </cell>
          <cell r="B29">
            <v>25</v>
          </cell>
        </row>
        <row r="30">
          <cell r="A30" t="str">
            <v>循環經濟研究學院</v>
          </cell>
          <cell r="B30">
            <v>25</v>
          </cell>
        </row>
        <row r="31">
          <cell r="A31" t="str">
            <v>資通安全研究與教學中心</v>
          </cell>
          <cell r="B31">
            <v>3</v>
          </cell>
        </row>
        <row r="32">
          <cell r="A32" t="str">
            <v>農產品驗證中心</v>
          </cell>
          <cell r="B32">
            <v>28</v>
          </cell>
        </row>
        <row r="33">
          <cell r="A33" t="str">
            <v>農業暨自然資源學院</v>
          </cell>
          <cell r="B33">
            <v>624</v>
          </cell>
        </row>
        <row r="34">
          <cell r="A34" t="str">
            <v>電機資訊學院</v>
          </cell>
          <cell r="B34">
            <v>93</v>
          </cell>
        </row>
        <row r="35">
          <cell r="A35" t="str">
            <v>圖書館</v>
          </cell>
          <cell r="B35">
            <v>37</v>
          </cell>
        </row>
        <row r="36">
          <cell r="A36" t="str">
            <v>管理學院</v>
          </cell>
          <cell r="B36">
            <v>154</v>
          </cell>
        </row>
        <row r="37">
          <cell r="A37" t="str">
            <v>學生事務處</v>
          </cell>
          <cell r="B37">
            <v>79</v>
          </cell>
        </row>
        <row r="38">
          <cell r="A38" t="str">
            <v>學程學院</v>
          </cell>
          <cell r="B38">
            <v>2</v>
          </cell>
        </row>
        <row r="39">
          <cell r="A39" t="str">
            <v>環境保育暨防災科技研究中心</v>
          </cell>
          <cell r="B39">
            <v>1</v>
          </cell>
        </row>
        <row r="40">
          <cell r="A40" t="str">
            <v>環境保護暨安全衛生中心</v>
          </cell>
          <cell r="B40">
            <v>15</v>
          </cell>
        </row>
        <row r="41">
          <cell r="A41" t="str">
            <v>環境教育暨永續科技研發中心</v>
          </cell>
          <cell r="B41">
            <v>2</v>
          </cell>
        </row>
        <row r="42">
          <cell r="A42" t="str">
            <v>總務處</v>
          </cell>
          <cell r="B42">
            <v>53</v>
          </cell>
        </row>
        <row r="43">
          <cell r="A43" t="str">
            <v>醫學院</v>
          </cell>
          <cell r="B43">
            <v>136</v>
          </cell>
        </row>
        <row r="44">
          <cell r="A44" t="str">
            <v>獸醫學院</v>
          </cell>
          <cell r="B44">
            <v>160</v>
          </cell>
        </row>
        <row r="45">
          <cell r="A45" t="str">
            <v>藝術中心</v>
          </cell>
          <cell r="B45">
            <v>1</v>
          </cell>
        </row>
        <row r="46">
          <cell r="A46" t="str">
            <v>體育室</v>
          </cell>
          <cell r="B46">
            <v>22</v>
          </cell>
        </row>
        <row r="47">
          <cell r="A47" t="str">
            <v>總計</v>
          </cell>
          <cell r="B47">
            <v>2616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身障分析"/>
      <sheetName val="身障名單"/>
      <sheetName val="工作表1"/>
      <sheetName val="公勞保名冊"/>
      <sheetName val="勞保名冊(刪除重複,工友)"/>
      <sheetName val="公保名冊(刪除教官,稀科,駐警)"/>
      <sheetName val="稀科(1),駐警(8)"/>
      <sheetName val="工友(40)"/>
    </sheetNames>
    <sheetDataSet>
      <sheetData sheetId="2">
        <row r="3">
          <cell r="A3" t="str">
            <v>計數 - 姓名</v>
          </cell>
        </row>
        <row r="4">
          <cell r="A4" t="str">
            <v>一級單位</v>
          </cell>
          <cell r="B4" t="str">
            <v>合計</v>
          </cell>
        </row>
        <row r="5">
          <cell r="A5" t="str">
            <v>人文社會科學前瞻研究中心</v>
          </cell>
          <cell r="B5">
            <v>5</v>
          </cell>
        </row>
        <row r="6">
          <cell r="A6" t="str">
            <v>人事室</v>
          </cell>
          <cell r="B6">
            <v>29</v>
          </cell>
        </row>
        <row r="7">
          <cell r="A7" t="str">
            <v>大數據中心</v>
          </cell>
          <cell r="B7">
            <v>1</v>
          </cell>
        </row>
        <row r="8">
          <cell r="A8" t="str">
            <v>工學院</v>
          </cell>
          <cell r="B8">
            <v>242</v>
          </cell>
        </row>
        <row r="9">
          <cell r="A9" t="str">
            <v>文學院</v>
          </cell>
          <cell r="B9">
            <v>206</v>
          </cell>
        </row>
        <row r="10">
          <cell r="A10" t="str">
            <v>主計室</v>
          </cell>
          <cell r="B10">
            <v>31</v>
          </cell>
        </row>
        <row r="11">
          <cell r="A11" t="str">
            <v>生命科學院</v>
          </cell>
          <cell r="B11">
            <v>142</v>
          </cell>
        </row>
        <row r="12">
          <cell r="A12" t="str">
            <v>生物科技發展中心</v>
          </cell>
          <cell r="B12">
            <v>33</v>
          </cell>
        </row>
        <row r="13">
          <cell r="A13" t="str">
            <v>法政學院</v>
          </cell>
          <cell r="B13">
            <v>55</v>
          </cell>
        </row>
        <row r="14">
          <cell r="A14" t="str">
            <v>前瞻理工科技研究中心</v>
          </cell>
          <cell r="B14">
            <v>4</v>
          </cell>
        </row>
        <row r="15">
          <cell r="A15" t="str">
            <v>研究發展處</v>
          </cell>
          <cell r="B15">
            <v>43</v>
          </cell>
        </row>
        <row r="16">
          <cell r="A16" t="str">
            <v>計算機及資訊網路中心</v>
          </cell>
          <cell r="B16">
            <v>37</v>
          </cell>
        </row>
        <row r="17">
          <cell r="A17" t="str">
            <v>師資培育中心</v>
          </cell>
          <cell r="B17">
            <v>3</v>
          </cell>
        </row>
        <row r="18">
          <cell r="A18" t="str">
            <v>校友中心</v>
          </cell>
          <cell r="B18">
            <v>4</v>
          </cell>
        </row>
        <row r="19">
          <cell r="A19" t="str">
            <v>校長室</v>
          </cell>
          <cell r="B19">
            <v>5</v>
          </cell>
        </row>
        <row r="20">
          <cell r="A20" t="str">
            <v>秘書室</v>
          </cell>
          <cell r="B20">
            <v>24</v>
          </cell>
        </row>
        <row r="21">
          <cell r="A21" t="str">
            <v>副校長室</v>
          </cell>
          <cell r="B21">
            <v>3</v>
          </cell>
        </row>
        <row r="22">
          <cell r="A22" t="str">
            <v>動物醫學研究中心</v>
          </cell>
          <cell r="B22">
            <v>14</v>
          </cell>
        </row>
        <row r="23">
          <cell r="A23" t="str">
            <v>國防關鍵系統研究發展中心</v>
          </cell>
          <cell r="B23">
            <v>6</v>
          </cell>
        </row>
        <row r="24">
          <cell r="A24" t="str">
            <v>國際事務處</v>
          </cell>
          <cell r="B24">
            <v>17</v>
          </cell>
        </row>
        <row r="25">
          <cell r="A25" t="str">
            <v>國際農業中心</v>
          </cell>
          <cell r="B25">
            <v>1</v>
          </cell>
        </row>
        <row r="26">
          <cell r="A26" t="str">
            <v>教務處</v>
          </cell>
          <cell r="B26">
            <v>104</v>
          </cell>
        </row>
        <row r="27">
          <cell r="A27" t="str">
            <v>理學院</v>
          </cell>
          <cell r="B27">
            <v>154</v>
          </cell>
        </row>
        <row r="28">
          <cell r="A28" t="str">
            <v>產學研鏈結中心</v>
          </cell>
          <cell r="B28">
            <v>22</v>
          </cell>
        </row>
        <row r="29">
          <cell r="A29" t="str">
            <v>創新產業暨國際學院</v>
          </cell>
          <cell r="B29">
            <v>25</v>
          </cell>
        </row>
        <row r="30">
          <cell r="A30" t="str">
            <v>循環經濟研究學院</v>
          </cell>
          <cell r="B30">
            <v>23</v>
          </cell>
        </row>
        <row r="31">
          <cell r="A31" t="str">
            <v>資通安全研究與教學中心</v>
          </cell>
          <cell r="B31">
            <v>4</v>
          </cell>
        </row>
        <row r="32">
          <cell r="A32" t="str">
            <v>農產品驗證中心</v>
          </cell>
          <cell r="B32">
            <v>29</v>
          </cell>
        </row>
        <row r="33">
          <cell r="A33" t="str">
            <v>農業暨自然資源學院</v>
          </cell>
          <cell r="B33">
            <v>635</v>
          </cell>
        </row>
        <row r="34">
          <cell r="A34" t="str">
            <v>電機資訊學院</v>
          </cell>
          <cell r="B34">
            <v>93</v>
          </cell>
        </row>
        <row r="35">
          <cell r="A35" t="str">
            <v>圖書館</v>
          </cell>
          <cell r="B35">
            <v>37</v>
          </cell>
        </row>
        <row r="36">
          <cell r="A36" t="str">
            <v>管理學院</v>
          </cell>
          <cell r="B36">
            <v>154</v>
          </cell>
        </row>
        <row r="37">
          <cell r="A37" t="str">
            <v>學生事務處</v>
          </cell>
          <cell r="B37">
            <v>90</v>
          </cell>
        </row>
        <row r="38">
          <cell r="A38" t="str">
            <v>學程學院</v>
          </cell>
          <cell r="B38">
            <v>2</v>
          </cell>
        </row>
        <row r="39">
          <cell r="A39" t="str">
            <v>環境保育暨防災科技研究中心</v>
          </cell>
          <cell r="B39">
            <v>1</v>
          </cell>
        </row>
        <row r="40">
          <cell r="A40" t="str">
            <v>環境保護暨安全衛生中心</v>
          </cell>
          <cell r="B40">
            <v>15</v>
          </cell>
        </row>
        <row r="41">
          <cell r="A41" t="str">
            <v>環境教育暨永續科技研發中心</v>
          </cell>
          <cell r="B41">
            <v>2</v>
          </cell>
        </row>
        <row r="42">
          <cell r="A42" t="str">
            <v>總務處</v>
          </cell>
          <cell r="B42">
            <v>54</v>
          </cell>
        </row>
        <row r="43">
          <cell r="A43" t="str">
            <v>醫學院</v>
          </cell>
          <cell r="B43">
            <v>135</v>
          </cell>
        </row>
        <row r="44">
          <cell r="A44" t="str">
            <v>獸醫學院</v>
          </cell>
          <cell r="B44">
            <v>161</v>
          </cell>
        </row>
        <row r="45">
          <cell r="A45" t="str">
            <v>藝術中心</v>
          </cell>
          <cell r="B45">
            <v>1</v>
          </cell>
        </row>
        <row r="46">
          <cell r="A46" t="str">
            <v>體育室</v>
          </cell>
          <cell r="B46">
            <v>21</v>
          </cell>
        </row>
        <row r="47">
          <cell r="A47" t="str">
            <v>總計</v>
          </cell>
          <cell r="B47">
            <v>2667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身障分析"/>
      <sheetName val="身障名單"/>
      <sheetName val="各單位人數分析"/>
      <sheetName val="公勞保名冊"/>
      <sheetName val="勞保名冊(刪除重複,工友)"/>
      <sheetName val="公保名冊(刪除教官,稀科,駐警)"/>
      <sheetName val="稀科(1),駐警(8)"/>
      <sheetName val="工友(40)"/>
    </sheetNames>
    <sheetDataSet>
      <sheetData sheetId="2">
        <row r="3">
          <cell r="A3" t="str">
            <v>計數 - 姓名</v>
          </cell>
        </row>
        <row r="4">
          <cell r="A4" t="str">
            <v>一級單位</v>
          </cell>
          <cell r="B4" t="str">
            <v>合計</v>
          </cell>
        </row>
        <row r="5">
          <cell r="A5" t="str">
            <v>人文社會科學前瞻研究中心</v>
          </cell>
          <cell r="B5">
            <v>5</v>
          </cell>
        </row>
        <row r="6">
          <cell r="A6" t="str">
            <v>人事室</v>
          </cell>
          <cell r="B6">
            <v>28</v>
          </cell>
        </row>
        <row r="7">
          <cell r="A7" t="str">
            <v>工學院</v>
          </cell>
          <cell r="B7">
            <v>246</v>
          </cell>
        </row>
        <row r="8">
          <cell r="A8" t="str">
            <v>文學院</v>
          </cell>
          <cell r="B8">
            <v>206</v>
          </cell>
        </row>
        <row r="9">
          <cell r="A9" t="str">
            <v>主計室</v>
          </cell>
          <cell r="B9">
            <v>31</v>
          </cell>
        </row>
        <row r="10">
          <cell r="A10" t="str">
            <v>生命科學院</v>
          </cell>
          <cell r="B10">
            <v>142</v>
          </cell>
        </row>
        <row r="11">
          <cell r="A11" t="str">
            <v>生物科技發展中心</v>
          </cell>
          <cell r="B11">
            <v>33</v>
          </cell>
        </row>
        <row r="12">
          <cell r="A12" t="str">
            <v>法政學院</v>
          </cell>
          <cell r="B12">
            <v>61</v>
          </cell>
        </row>
        <row r="13">
          <cell r="A13" t="str">
            <v>前瞻理工科技研究中心</v>
          </cell>
          <cell r="B13">
            <v>4</v>
          </cell>
        </row>
        <row r="14">
          <cell r="A14" t="str">
            <v>研究發展處</v>
          </cell>
          <cell r="B14">
            <v>44</v>
          </cell>
        </row>
        <row r="15">
          <cell r="A15" t="str">
            <v>計算機及資訊網路中心</v>
          </cell>
          <cell r="B15">
            <v>37</v>
          </cell>
        </row>
        <row r="16">
          <cell r="A16" t="str">
            <v>師資培育中心</v>
          </cell>
          <cell r="B16">
            <v>3</v>
          </cell>
        </row>
        <row r="17">
          <cell r="A17" t="str">
            <v>校友中心</v>
          </cell>
          <cell r="B17">
            <v>4</v>
          </cell>
        </row>
        <row r="18">
          <cell r="A18" t="str">
            <v>校長室</v>
          </cell>
          <cell r="B18">
            <v>6</v>
          </cell>
        </row>
        <row r="19">
          <cell r="A19" t="str">
            <v>秘書室</v>
          </cell>
          <cell r="B19">
            <v>23</v>
          </cell>
        </row>
        <row r="20">
          <cell r="A20" t="str">
            <v>副校長室</v>
          </cell>
          <cell r="B20">
            <v>3</v>
          </cell>
        </row>
        <row r="21">
          <cell r="A21" t="str">
            <v>動物醫學研究中心</v>
          </cell>
          <cell r="B21">
            <v>14</v>
          </cell>
        </row>
        <row r="22">
          <cell r="A22" t="str">
            <v>國防關鍵系統研究發展中心</v>
          </cell>
          <cell r="B22">
            <v>5</v>
          </cell>
        </row>
        <row r="23">
          <cell r="A23" t="str">
            <v>國際事務處</v>
          </cell>
          <cell r="B23">
            <v>19</v>
          </cell>
        </row>
        <row r="24">
          <cell r="A24" t="str">
            <v>國際農業中心</v>
          </cell>
          <cell r="B24">
            <v>1</v>
          </cell>
        </row>
        <row r="25">
          <cell r="A25" t="str">
            <v>教務處</v>
          </cell>
          <cell r="B25">
            <v>97</v>
          </cell>
        </row>
        <row r="26">
          <cell r="A26" t="str">
            <v>理學院</v>
          </cell>
          <cell r="B26">
            <v>149</v>
          </cell>
        </row>
        <row r="27">
          <cell r="A27" t="str">
            <v>產學研鏈結中心</v>
          </cell>
          <cell r="B27">
            <v>22</v>
          </cell>
        </row>
        <row r="28">
          <cell r="A28" t="str">
            <v>創新產業暨國際學院</v>
          </cell>
          <cell r="B28">
            <v>25</v>
          </cell>
        </row>
        <row r="29">
          <cell r="A29" t="str">
            <v>循環經濟研究學院</v>
          </cell>
          <cell r="B29">
            <v>21</v>
          </cell>
        </row>
        <row r="30">
          <cell r="A30" t="str">
            <v>資通安全研究與教學中心</v>
          </cell>
          <cell r="B30">
            <v>4</v>
          </cell>
        </row>
        <row r="31">
          <cell r="A31" t="str">
            <v>農產品驗證中心</v>
          </cell>
          <cell r="B31">
            <v>27</v>
          </cell>
        </row>
        <row r="32">
          <cell r="A32" t="str">
            <v>農業暨自然資源學院</v>
          </cell>
          <cell r="B32">
            <v>639</v>
          </cell>
        </row>
        <row r="33">
          <cell r="A33" t="str">
            <v>電機資訊學院</v>
          </cell>
          <cell r="B33">
            <v>90</v>
          </cell>
        </row>
        <row r="34">
          <cell r="A34" t="str">
            <v>圖書館</v>
          </cell>
          <cell r="B34">
            <v>37</v>
          </cell>
        </row>
        <row r="35">
          <cell r="A35" t="str">
            <v>管理學院</v>
          </cell>
          <cell r="B35">
            <v>169</v>
          </cell>
        </row>
        <row r="36">
          <cell r="A36" t="str">
            <v>學生事務處</v>
          </cell>
          <cell r="B36">
            <v>83</v>
          </cell>
        </row>
        <row r="37">
          <cell r="A37" t="str">
            <v>學程學院</v>
          </cell>
          <cell r="B37">
            <v>1</v>
          </cell>
        </row>
        <row r="38">
          <cell r="A38" t="str">
            <v>環境保育暨防災科技研究中心</v>
          </cell>
          <cell r="B38">
            <v>1</v>
          </cell>
        </row>
        <row r="39">
          <cell r="A39" t="str">
            <v>環境保護暨安全衛生中心</v>
          </cell>
          <cell r="B39">
            <v>14</v>
          </cell>
        </row>
        <row r="40">
          <cell r="A40" t="str">
            <v>環境教育暨永續科技研發中心</v>
          </cell>
          <cell r="B40">
            <v>1</v>
          </cell>
        </row>
        <row r="41">
          <cell r="A41" t="str">
            <v>總務處</v>
          </cell>
          <cell r="B41">
            <v>53</v>
          </cell>
        </row>
        <row r="42">
          <cell r="A42" t="str">
            <v>醫學院</v>
          </cell>
          <cell r="B42">
            <v>138</v>
          </cell>
        </row>
        <row r="43">
          <cell r="A43" t="str">
            <v>獸醫學院</v>
          </cell>
          <cell r="B43">
            <v>161</v>
          </cell>
        </row>
        <row r="44">
          <cell r="A44" t="str">
            <v>藝術中心</v>
          </cell>
          <cell r="B44">
            <v>1</v>
          </cell>
        </row>
        <row r="45">
          <cell r="A45" t="str">
            <v>體育室</v>
          </cell>
          <cell r="B45">
            <v>22</v>
          </cell>
        </row>
        <row r="46">
          <cell r="A46" t="str">
            <v>總計</v>
          </cell>
          <cell r="B46">
            <v>2670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身障分析"/>
      <sheetName val="身障名單"/>
      <sheetName val="單位人數分析"/>
      <sheetName val="公勞保名冊"/>
      <sheetName val="勞保名冊(刪除重複,工友)"/>
      <sheetName val="公保名冊(刪除教官,稀科,駐警)"/>
      <sheetName val="稀科(1),駐警(8)"/>
      <sheetName val="工友(40)"/>
    </sheetNames>
    <sheetDataSet>
      <sheetData sheetId="2">
        <row r="4">
          <cell r="A4" t="str">
            <v>一級單位</v>
          </cell>
          <cell r="B4" t="str">
            <v>合計</v>
          </cell>
        </row>
        <row r="5">
          <cell r="A5" t="str">
            <v>人文社會科學前瞻研究中心</v>
          </cell>
          <cell r="B5">
            <v>5</v>
          </cell>
        </row>
        <row r="6">
          <cell r="A6" t="str">
            <v>人事室</v>
          </cell>
          <cell r="B6">
            <v>28</v>
          </cell>
        </row>
        <row r="7">
          <cell r="A7" t="str">
            <v>工學院</v>
          </cell>
          <cell r="B7">
            <v>250</v>
          </cell>
        </row>
        <row r="8">
          <cell r="A8" t="str">
            <v>中興新村校區籌備處</v>
          </cell>
          <cell r="B8">
            <v>1</v>
          </cell>
        </row>
        <row r="9">
          <cell r="A9" t="str">
            <v>文學院</v>
          </cell>
          <cell r="B9">
            <v>215</v>
          </cell>
        </row>
        <row r="10">
          <cell r="A10" t="str">
            <v>主計室</v>
          </cell>
          <cell r="B10">
            <v>32</v>
          </cell>
        </row>
        <row r="11">
          <cell r="A11" t="str">
            <v>生命科學院</v>
          </cell>
          <cell r="B11">
            <v>150</v>
          </cell>
        </row>
        <row r="12">
          <cell r="A12" t="str">
            <v>生物科技發展中心</v>
          </cell>
          <cell r="B12">
            <v>29</v>
          </cell>
        </row>
        <row r="13">
          <cell r="A13" t="str">
            <v>法政學院</v>
          </cell>
          <cell r="B13">
            <v>69</v>
          </cell>
        </row>
        <row r="14">
          <cell r="A14" t="str">
            <v>前瞻理工科技研究中心</v>
          </cell>
          <cell r="B14">
            <v>4</v>
          </cell>
        </row>
        <row r="15">
          <cell r="A15" t="str">
            <v>研究發展處</v>
          </cell>
          <cell r="B15">
            <v>44</v>
          </cell>
        </row>
        <row r="16">
          <cell r="A16" t="str">
            <v>計算機及資訊網路中心</v>
          </cell>
          <cell r="B16">
            <v>37</v>
          </cell>
        </row>
        <row r="17">
          <cell r="A17" t="str">
            <v>師資培育中心</v>
          </cell>
          <cell r="B17">
            <v>3</v>
          </cell>
        </row>
        <row r="18">
          <cell r="A18" t="str">
            <v>校友中心</v>
          </cell>
          <cell r="B18">
            <v>4</v>
          </cell>
        </row>
        <row r="19">
          <cell r="A19" t="str">
            <v>校長室</v>
          </cell>
          <cell r="B19">
            <v>7</v>
          </cell>
        </row>
        <row r="20">
          <cell r="A20" t="str">
            <v>秘書室</v>
          </cell>
          <cell r="B20">
            <v>24</v>
          </cell>
        </row>
        <row r="21">
          <cell r="A21" t="str">
            <v>副校長室</v>
          </cell>
          <cell r="B21">
            <v>3</v>
          </cell>
        </row>
        <row r="22">
          <cell r="A22" t="str">
            <v>動物醫學研究中心</v>
          </cell>
          <cell r="B22">
            <v>13</v>
          </cell>
        </row>
        <row r="23">
          <cell r="A23" t="str">
            <v>國防關鍵系統研究發展中心</v>
          </cell>
          <cell r="B23">
            <v>4</v>
          </cell>
        </row>
        <row r="24">
          <cell r="A24" t="str">
            <v>國際事務處</v>
          </cell>
          <cell r="B24">
            <v>21</v>
          </cell>
        </row>
        <row r="25">
          <cell r="A25" t="str">
            <v>國際農業中心</v>
          </cell>
          <cell r="B25">
            <v>1</v>
          </cell>
        </row>
        <row r="26">
          <cell r="A26" t="str">
            <v>教務處</v>
          </cell>
          <cell r="B26">
            <v>105</v>
          </cell>
        </row>
        <row r="27">
          <cell r="A27" t="str">
            <v>理學院</v>
          </cell>
          <cell r="B27">
            <v>154</v>
          </cell>
        </row>
        <row r="28">
          <cell r="A28" t="str">
            <v>產學研鏈結中心</v>
          </cell>
          <cell r="B28">
            <v>20</v>
          </cell>
        </row>
        <row r="29">
          <cell r="A29" t="str">
            <v>創新產業暨國際學院</v>
          </cell>
          <cell r="B29">
            <v>26</v>
          </cell>
        </row>
        <row r="30">
          <cell r="A30" t="str">
            <v>循環經濟研究學院</v>
          </cell>
          <cell r="B30">
            <v>22</v>
          </cell>
        </row>
        <row r="31">
          <cell r="A31" t="str">
            <v>資通安全研究與教學中心</v>
          </cell>
          <cell r="B31">
            <v>3</v>
          </cell>
        </row>
        <row r="32">
          <cell r="A32" t="str">
            <v>農產品驗證中心</v>
          </cell>
          <cell r="B32">
            <v>27</v>
          </cell>
        </row>
        <row r="33">
          <cell r="A33" t="str">
            <v>農業暨自然資源學院</v>
          </cell>
          <cell r="B33">
            <v>652</v>
          </cell>
        </row>
        <row r="34">
          <cell r="A34" t="str">
            <v>電機資訊學院</v>
          </cell>
          <cell r="B34">
            <v>95</v>
          </cell>
        </row>
        <row r="35">
          <cell r="A35" t="str">
            <v>圖書館</v>
          </cell>
          <cell r="B35">
            <v>40</v>
          </cell>
        </row>
        <row r="36">
          <cell r="A36" t="str">
            <v>管理學院</v>
          </cell>
          <cell r="B36">
            <v>185</v>
          </cell>
        </row>
        <row r="37">
          <cell r="A37" t="str">
            <v>學生事務處</v>
          </cell>
          <cell r="B37">
            <v>97</v>
          </cell>
        </row>
        <row r="38">
          <cell r="A38" t="str">
            <v>學程學院</v>
          </cell>
          <cell r="B38">
            <v>1</v>
          </cell>
        </row>
        <row r="39">
          <cell r="A39" t="str">
            <v>環境保育暨防災科技研究中心</v>
          </cell>
          <cell r="B39">
            <v>1</v>
          </cell>
        </row>
        <row r="40">
          <cell r="A40" t="str">
            <v>環境保護暨安全衛生中心</v>
          </cell>
          <cell r="B40">
            <v>16</v>
          </cell>
        </row>
        <row r="41">
          <cell r="A41" t="str">
            <v>環境教育暨永續科技研發中心</v>
          </cell>
          <cell r="B41">
            <v>2</v>
          </cell>
        </row>
        <row r="42">
          <cell r="A42" t="str">
            <v>總務處</v>
          </cell>
          <cell r="B42">
            <v>54</v>
          </cell>
        </row>
        <row r="43">
          <cell r="A43" t="str">
            <v>醫學院</v>
          </cell>
          <cell r="B43">
            <v>138</v>
          </cell>
        </row>
        <row r="44">
          <cell r="A44" t="str">
            <v>獸醫學院</v>
          </cell>
          <cell r="B44">
            <v>164</v>
          </cell>
        </row>
        <row r="45">
          <cell r="A45" t="str">
            <v>藝術中心</v>
          </cell>
          <cell r="B45">
            <v>1</v>
          </cell>
        </row>
        <row r="46">
          <cell r="A46" t="str">
            <v>體育室</v>
          </cell>
          <cell r="B4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L22" sqref="L22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14.00390625" style="51" customWidth="1"/>
    <col min="10" max="10" width="14.00390625" style="42" customWidth="1"/>
    <col min="11" max="11" width="9.625" style="42" customWidth="1"/>
    <col min="12" max="16384" width="9.00390625" style="1" customWidth="1"/>
  </cols>
  <sheetData>
    <row r="1" spans="1:12" ht="21">
      <c r="A1" s="81" t="s">
        <v>95</v>
      </c>
      <c r="B1" s="81"/>
      <c r="C1" s="81"/>
      <c r="D1" s="81"/>
      <c r="E1" s="81"/>
      <c r="F1" s="81"/>
      <c r="G1" s="81"/>
      <c r="H1" s="81"/>
      <c r="I1" s="81"/>
      <c r="J1" s="81"/>
      <c r="K1" s="38"/>
      <c r="L1" s="39"/>
    </row>
    <row r="2" spans="1:11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23</v>
      </c>
      <c r="H2" s="90" t="s">
        <v>23</v>
      </c>
      <c r="I2" s="73" t="s">
        <v>96</v>
      </c>
      <c r="J2" s="73" t="s">
        <v>90</v>
      </c>
      <c r="K2" s="41"/>
    </row>
    <row r="3" spans="1:11" s="42" customFormat="1" ht="68.25" customHeight="1">
      <c r="A3" s="82"/>
      <c r="B3" s="84"/>
      <c r="C3" s="84"/>
      <c r="D3" s="86"/>
      <c r="E3" s="87"/>
      <c r="F3" s="89"/>
      <c r="G3" s="15">
        <v>81</v>
      </c>
      <c r="H3" s="91"/>
      <c r="I3" s="74"/>
      <c r="J3" s="74"/>
      <c r="K3" s="43"/>
    </row>
    <row r="4" spans="1:11" s="8" customFormat="1" ht="19.5" customHeight="1">
      <c r="A4" s="3" t="s">
        <v>2</v>
      </c>
      <c r="B4" s="22">
        <f>VLOOKUP(A4,'[10]單位人數分析'!$A$4:$C$48,3,0)</f>
        <v>207</v>
      </c>
      <c r="C4" s="22">
        <v>5</v>
      </c>
      <c r="D4" s="22">
        <v>7</v>
      </c>
      <c r="E4" s="23">
        <f>D4/B4</f>
        <v>0.033816425120772944</v>
      </c>
      <c r="F4" s="23">
        <f aca="true" t="shared" si="0" ref="F4:F34">B4/$B$36</f>
        <v>0.07600514044428125</v>
      </c>
      <c r="G4" s="24">
        <f>F4*$G$3</f>
        <v>6.156416375986781</v>
      </c>
      <c r="H4" s="25">
        <f>ROUND(G4,0)</f>
        <v>6</v>
      </c>
      <c r="I4" s="21">
        <f>D4-H4</f>
        <v>1</v>
      </c>
      <c r="J4" s="12">
        <v>1</v>
      </c>
      <c r="K4" s="17"/>
    </row>
    <row r="5" spans="1:11" s="8" customFormat="1" ht="19.5" customHeight="1">
      <c r="A5" s="58" t="s">
        <v>3</v>
      </c>
      <c r="B5" s="59">
        <f>VLOOKUP(A5,'[10]單位人數分析'!$A$4:$C$48,3,0)</f>
        <v>638.5</v>
      </c>
      <c r="C5" s="59">
        <v>14.5</v>
      </c>
      <c r="D5" s="59">
        <v>15.5</v>
      </c>
      <c r="E5" s="60">
        <f aca="true" t="shared" si="1" ref="E5:E34">D5/B5</f>
        <v>0.02427564604541895</v>
      </c>
      <c r="F5" s="60">
        <f t="shared" si="0"/>
        <v>0.23444097668441344</v>
      </c>
      <c r="G5" s="61">
        <f aca="true" t="shared" si="2" ref="G5:G23">F5*$G$3</f>
        <v>18.989719111437488</v>
      </c>
      <c r="H5" s="62">
        <f aca="true" t="shared" si="3" ref="H5:H33">ROUND(G5,0)</f>
        <v>19</v>
      </c>
      <c r="I5" s="64">
        <f aca="true" t="shared" si="4" ref="I5:I34">D5-H5</f>
        <v>-3.5</v>
      </c>
      <c r="J5" s="65">
        <v>-3</v>
      </c>
      <c r="K5" s="17"/>
    </row>
    <row r="6" spans="1:11" s="36" customFormat="1" ht="19.5" customHeight="1">
      <c r="A6" s="3" t="s">
        <v>4</v>
      </c>
      <c r="B6" s="22">
        <f>VLOOKUP(A6,'[10]單位人數分析'!$A$4:$C$48,3,0)</f>
        <v>151.5</v>
      </c>
      <c r="C6" s="22">
        <v>4.5</v>
      </c>
      <c r="D6" s="22">
        <v>4.5</v>
      </c>
      <c r="E6" s="23">
        <f t="shared" si="1"/>
        <v>0.0297029702970297</v>
      </c>
      <c r="F6" s="23">
        <f t="shared" si="0"/>
        <v>0.05562695061501744</v>
      </c>
      <c r="G6" s="24">
        <f t="shared" si="2"/>
        <v>4.505782999816413</v>
      </c>
      <c r="H6" s="25">
        <f t="shared" si="3"/>
        <v>5</v>
      </c>
      <c r="I6" s="21">
        <f t="shared" si="4"/>
        <v>-0.5</v>
      </c>
      <c r="J6" s="12">
        <v>-0.5</v>
      </c>
      <c r="K6" s="17"/>
    </row>
    <row r="7" spans="1:11" s="7" customFormat="1" ht="19.5" customHeight="1">
      <c r="A7" s="3" t="s">
        <v>5</v>
      </c>
      <c r="B7" s="22">
        <f>VLOOKUP(A7,'[10]單位人數分析'!$A$4:$C$48,3,0)</f>
        <v>253</v>
      </c>
      <c r="C7" s="22">
        <v>6</v>
      </c>
      <c r="D7" s="22">
        <v>7</v>
      </c>
      <c r="E7" s="23">
        <f t="shared" si="1"/>
        <v>0.02766798418972332</v>
      </c>
      <c r="F7" s="23">
        <f t="shared" si="0"/>
        <v>0.09289517165412153</v>
      </c>
      <c r="G7" s="24">
        <f t="shared" si="2"/>
        <v>7.524508903983844</v>
      </c>
      <c r="H7" s="25">
        <f t="shared" si="3"/>
        <v>8</v>
      </c>
      <c r="I7" s="21">
        <f t="shared" si="4"/>
        <v>-1</v>
      </c>
      <c r="J7" s="12">
        <v>0</v>
      </c>
      <c r="K7" s="17"/>
    </row>
    <row r="8" spans="1:11" ht="19.5" customHeight="1">
      <c r="A8" s="3" t="s">
        <v>6</v>
      </c>
      <c r="B8" s="22">
        <f>VLOOKUP(A8,'[10]單位人數分析'!$A$4:$C$48,3,0)</f>
        <v>140</v>
      </c>
      <c r="C8" s="22">
        <v>4</v>
      </c>
      <c r="D8" s="22">
        <v>4</v>
      </c>
      <c r="E8" s="23">
        <f t="shared" si="1"/>
        <v>0.02857142857142857</v>
      </c>
      <c r="F8" s="23">
        <f t="shared" si="0"/>
        <v>0.05140444281255737</v>
      </c>
      <c r="G8" s="24">
        <f>F8*$G$3</f>
        <v>4.163759867817147</v>
      </c>
      <c r="H8" s="25">
        <f t="shared" si="3"/>
        <v>4</v>
      </c>
      <c r="I8" s="12">
        <f t="shared" si="4"/>
        <v>0</v>
      </c>
      <c r="J8" s="12">
        <v>0</v>
      </c>
      <c r="K8" s="17"/>
    </row>
    <row r="9" spans="1:11" ht="19.5" customHeight="1">
      <c r="A9" s="58" t="s">
        <v>7</v>
      </c>
      <c r="B9" s="59">
        <f>VLOOKUP(A9,'[10]單位人數分析'!$A$4:$C$48,3,0)</f>
        <v>167</v>
      </c>
      <c r="C9" s="59">
        <v>3</v>
      </c>
      <c r="D9" s="59">
        <v>3</v>
      </c>
      <c r="E9" s="60">
        <f t="shared" si="1"/>
        <v>0.017964071856287425</v>
      </c>
      <c r="F9" s="60">
        <f t="shared" si="0"/>
        <v>0.06131815678355058</v>
      </c>
      <c r="G9" s="61">
        <f t="shared" si="2"/>
        <v>4.966770699467597</v>
      </c>
      <c r="H9" s="62">
        <f t="shared" si="3"/>
        <v>5</v>
      </c>
      <c r="I9" s="64">
        <f t="shared" si="4"/>
        <v>-2</v>
      </c>
      <c r="J9" s="65">
        <v>-2</v>
      </c>
      <c r="K9" s="17"/>
    </row>
    <row r="10" spans="1:11" ht="19.5" customHeight="1">
      <c r="A10" s="3" t="s">
        <v>26</v>
      </c>
      <c r="B10" s="22">
        <f>VLOOKUP(A10,'[10]單位人數分析'!$A$4:$C$48,3,0)</f>
        <v>185.5</v>
      </c>
      <c r="C10" s="22">
        <v>4.5</v>
      </c>
      <c r="D10" s="22">
        <v>5.5</v>
      </c>
      <c r="E10" s="23">
        <f t="shared" si="1"/>
        <v>0.029649595687331536</v>
      </c>
      <c r="F10" s="23">
        <f t="shared" si="0"/>
        <v>0.06811088672663852</v>
      </c>
      <c r="G10" s="24">
        <f>F10*$G$3</f>
        <v>5.51698182485772</v>
      </c>
      <c r="H10" s="25">
        <f t="shared" si="3"/>
        <v>6</v>
      </c>
      <c r="I10" s="21">
        <f t="shared" si="4"/>
        <v>-0.5</v>
      </c>
      <c r="J10" s="12">
        <v>-0.5</v>
      </c>
      <c r="K10" s="17"/>
    </row>
    <row r="11" spans="1:11" s="6" customFormat="1" ht="19.5" customHeight="1">
      <c r="A11" s="58" t="s">
        <v>28</v>
      </c>
      <c r="B11" s="59">
        <f>VLOOKUP(A11,'[10]單位人數分析'!$A$4:$C$48,3,0)</f>
        <v>58</v>
      </c>
      <c r="C11" s="59">
        <v>1</v>
      </c>
      <c r="D11" s="59">
        <v>1</v>
      </c>
      <c r="E11" s="60">
        <f t="shared" si="1"/>
        <v>0.017241379310344827</v>
      </c>
      <c r="F11" s="60">
        <f t="shared" si="0"/>
        <v>0.021296126308059483</v>
      </c>
      <c r="G11" s="61">
        <f t="shared" si="2"/>
        <v>1.7249862309528181</v>
      </c>
      <c r="H11" s="62">
        <f t="shared" si="3"/>
        <v>2</v>
      </c>
      <c r="I11" s="64">
        <f t="shared" si="4"/>
        <v>-1</v>
      </c>
      <c r="J11" s="65">
        <v>-1</v>
      </c>
      <c r="K11" s="17"/>
    </row>
    <row r="12" spans="1:11" s="6" customFormat="1" ht="19.5" customHeight="1">
      <c r="A12" s="3" t="s">
        <v>34</v>
      </c>
      <c r="B12" s="22">
        <f>VLOOKUP(A12,'[10]單位人數分析'!$A$4:$C$48,3,0)</f>
        <v>100</v>
      </c>
      <c r="C12" s="22">
        <v>3</v>
      </c>
      <c r="D12" s="22">
        <v>4</v>
      </c>
      <c r="E12" s="23">
        <f t="shared" si="1"/>
        <v>0.04</v>
      </c>
      <c r="F12" s="23">
        <f t="shared" si="0"/>
        <v>0.03671745915182669</v>
      </c>
      <c r="G12" s="24">
        <f>F12*$G$3</f>
        <v>2.974114191297962</v>
      </c>
      <c r="H12" s="25">
        <f t="shared" si="3"/>
        <v>3</v>
      </c>
      <c r="I12" s="12">
        <f t="shared" si="4"/>
        <v>1</v>
      </c>
      <c r="J12" s="12">
        <v>1.5</v>
      </c>
      <c r="K12" s="17"/>
    </row>
    <row r="13" spans="1:11" s="36" customFormat="1" ht="19.5" customHeight="1">
      <c r="A13" s="3" t="s">
        <v>8</v>
      </c>
      <c r="B13" s="22">
        <f>VLOOKUP(A13,'[10]單位人數分析'!$A$4:$C$48,3,0)</f>
        <v>31</v>
      </c>
      <c r="C13" s="22">
        <v>1</v>
      </c>
      <c r="D13" s="22">
        <v>1</v>
      </c>
      <c r="E13" s="23">
        <f t="shared" si="1"/>
        <v>0.03225806451612903</v>
      </c>
      <c r="F13" s="23">
        <f t="shared" si="0"/>
        <v>0.011382412337066276</v>
      </c>
      <c r="G13" s="24">
        <f t="shared" si="2"/>
        <v>0.9219753993023684</v>
      </c>
      <c r="H13" s="25">
        <f t="shared" si="3"/>
        <v>1</v>
      </c>
      <c r="I13" s="21">
        <f t="shared" si="4"/>
        <v>0</v>
      </c>
      <c r="J13" s="12">
        <v>0</v>
      </c>
      <c r="K13" s="17"/>
    </row>
    <row r="14" spans="1:11" ht="19.5" customHeight="1">
      <c r="A14" s="9" t="s">
        <v>36</v>
      </c>
      <c r="B14" s="22">
        <f>VLOOKUP(A14,'[10]單位人數分析'!$A$4:$C$48,3,0)</f>
        <v>2</v>
      </c>
      <c r="C14" s="22">
        <v>0</v>
      </c>
      <c r="D14" s="22">
        <v>0</v>
      </c>
      <c r="E14" s="23">
        <f t="shared" si="1"/>
        <v>0</v>
      </c>
      <c r="F14" s="23">
        <f t="shared" si="0"/>
        <v>0.0007343491830365339</v>
      </c>
      <c r="G14" s="24">
        <f t="shared" si="2"/>
        <v>0.05948228382595924</v>
      </c>
      <c r="H14" s="30">
        <f t="shared" si="3"/>
        <v>0</v>
      </c>
      <c r="I14" s="12">
        <f t="shared" si="4"/>
        <v>0</v>
      </c>
      <c r="J14" s="12">
        <v>0</v>
      </c>
      <c r="K14" s="17"/>
    </row>
    <row r="15" spans="1:11" s="37" customFormat="1" ht="19.5" customHeight="1">
      <c r="A15" s="58" t="s">
        <v>9</v>
      </c>
      <c r="B15" s="59">
        <f>VLOOKUP(A15,'[10]單位人數分析'!$A$4:$C$48,3,0)</f>
        <v>103.5</v>
      </c>
      <c r="C15" s="59">
        <v>2.5</v>
      </c>
      <c r="D15" s="59">
        <v>2.5</v>
      </c>
      <c r="E15" s="60">
        <f t="shared" si="1"/>
        <v>0.024154589371980676</v>
      </c>
      <c r="F15" s="60">
        <f t="shared" si="0"/>
        <v>0.038002570222140625</v>
      </c>
      <c r="G15" s="61">
        <f t="shared" si="2"/>
        <v>3.0782081879933907</v>
      </c>
      <c r="H15" s="66">
        <f t="shared" si="3"/>
        <v>3</v>
      </c>
      <c r="I15" s="64">
        <f t="shared" si="4"/>
        <v>-0.5</v>
      </c>
      <c r="J15" s="65">
        <v>-0.5</v>
      </c>
      <c r="K15" s="17"/>
    </row>
    <row r="16" spans="1:11" ht="19.5" customHeight="1">
      <c r="A16" s="3" t="s">
        <v>42</v>
      </c>
      <c r="B16" s="22">
        <f>VLOOKUP(A16,'[10]單位人數分析'!$A$4:$C$48,3,0)</f>
        <v>80</v>
      </c>
      <c r="C16" s="22">
        <v>4</v>
      </c>
      <c r="D16" s="22">
        <v>5</v>
      </c>
      <c r="E16" s="23">
        <f t="shared" si="1"/>
        <v>0.0625</v>
      </c>
      <c r="F16" s="23">
        <f t="shared" si="0"/>
        <v>0.029373967321461355</v>
      </c>
      <c r="G16" s="24">
        <f>F16*$G$3</f>
        <v>2.37929135303837</v>
      </c>
      <c r="H16" s="30">
        <f t="shared" si="3"/>
        <v>2</v>
      </c>
      <c r="I16" s="12">
        <f t="shared" si="4"/>
        <v>3</v>
      </c>
      <c r="J16" s="12">
        <v>2</v>
      </c>
      <c r="K16" s="17"/>
    </row>
    <row r="17" spans="1:11" ht="19.5" customHeight="1">
      <c r="A17" s="3" t="s">
        <v>10</v>
      </c>
      <c r="B17" s="22">
        <f>VLOOKUP(A17,'[10]單位人數分析'!$A$4:$C$48,3,0)</f>
        <v>54</v>
      </c>
      <c r="C17" s="22">
        <v>2</v>
      </c>
      <c r="D17" s="22">
        <v>4</v>
      </c>
      <c r="E17" s="23">
        <f t="shared" si="1"/>
        <v>0.07407407407407407</v>
      </c>
      <c r="F17" s="23">
        <f t="shared" si="0"/>
        <v>0.019827427941986414</v>
      </c>
      <c r="G17" s="24">
        <f t="shared" si="2"/>
        <v>1.6060216633008995</v>
      </c>
      <c r="H17" s="30">
        <f t="shared" si="3"/>
        <v>2</v>
      </c>
      <c r="I17" s="12">
        <f t="shared" si="4"/>
        <v>2</v>
      </c>
      <c r="J17" s="12">
        <v>2</v>
      </c>
      <c r="K17" s="17"/>
    </row>
    <row r="18" spans="1:11" s="37" customFormat="1" ht="19.5" customHeight="1">
      <c r="A18" s="3" t="s">
        <v>11</v>
      </c>
      <c r="B18" s="22">
        <f>VLOOKUP(A18,'[10]單位人數分析'!$A$4:$C$48,3,0)</f>
        <v>46</v>
      </c>
      <c r="C18" s="22">
        <v>1</v>
      </c>
      <c r="D18" s="22">
        <v>2</v>
      </c>
      <c r="E18" s="23">
        <f t="shared" si="1"/>
        <v>0.043478260869565216</v>
      </c>
      <c r="F18" s="23">
        <f t="shared" si="0"/>
        <v>0.01689003120984028</v>
      </c>
      <c r="G18" s="24">
        <f t="shared" si="2"/>
        <v>1.3680925279970626</v>
      </c>
      <c r="H18" s="30">
        <f t="shared" si="3"/>
        <v>1</v>
      </c>
      <c r="I18" s="12">
        <f t="shared" si="4"/>
        <v>1</v>
      </c>
      <c r="J18" s="12">
        <v>1</v>
      </c>
      <c r="K18" s="17"/>
    </row>
    <row r="19" spans="1:11" ht="19.5" customHeight="1">
      <c r="A19" s="58" t="s">
        <v>12</v>
      </c>
      <c r="B19" s="59">
        <f>VLOOKUP(A19,'[10]單位人數分析'!$A$4:$C$48,3,0)</f>
        <v>22</v>
      </c>
      <c r="C19" s="59">
        <v>0</v>
      </c>
      <c r="D19" s="59">
        <v>0</v>
      </c>
      <c r="E19" s="60">
        <f t="shared" si="1"/>
        <v>0</v>
      </c>
      <c r="F19" s="60">
        <f t="shared" si="0"/>
        <v>0.008077841013401872</v>
      </c>
      <c r="G19" s="61">
        <f t="shared" si="2"/>
        <v>0.6543051220855517</v>
      </c>
      <c r="H19" s="66">
        <f t="shared" si="3"/>
        <v>1</v>
      </c>
      <c r="I19" s="64">
        <f t="shared" si="4"/>
        <v>-1</v>
      </c>
      <c r="J19" s="65">
        <v>-1</v>
      </c>
      <c r="K19" s="17"/>
    </row>
    <row r="20" spans="1:11" ht="18.75" customHeight="1">
      <c r="A20" s="3" t="s">
        <v>32</v>
      </c>
      <c r="B20" s="22">
        <f>VLOOKUP(A20,'[10]單位人數分析'!$A$4:$C$48,3,0)</f>
        <v>27</v>
      </c>
      <c r="C20" s="22">
        <v>1</v>
      </c>
      <c r="D20" s="22">
        <v>1</v>
      </c>
      <c r="E20" s="23">
        <f t="shared" si="1"/>
        <v>0.037037037037037035</v>
      </c>
      <c r="F20" s="23">
        <f t="shared" si="0"/>
        <v>0.009913713970993207</v>
      </c>
      <c r="G20" s="24">
        <f>F20*$G$3</f>
        <v>0.8030108316504497</v>
      </c>
      <c r="H20" s="30">
        <f t="shared" si="3"/>
        <v>1</v>
      </c>
      <c r="I20" s="12">
        <f t="shared" si="4"/>
        <v>0</v>
      </c>
      <c r="J20" s="12">
        <v>0</v>
      </c>
      <c r="K20" s="17"/>
    </row>
    <row r="21" spans="1:11" ht="19.5" customHeight="1">
      <c r="A21" s="3" t="s">
        <v>13</v>
      </c>
      <c r="B21" s="22">
        <f>VLOOKUP(A21,'[10]單位人數分析'!$A$4:$C$48,3,0)</f>
        <v>43</v>
      </c>
      <c r="C21" s="22">
        <v>2</v>
      </c>
      <c r="D21" s="22">
        <v>3</v>
      </c>
      <c r="E21" s="23">
        <f t="shared" si="1"/>
        <v>0.06976744186046512</v>
      </c>
      <c r="F21" s="23">
        <f t="shared" si="0"/>
        <v>0.015788507435285478</v>
      </c>
      <c r="G21" s="24">
        <f t="shared" si="2"/>
        <v>1.2788691022581238</v>
      </c>
      <c r="H21" s="30">
        <f t="shared" si="3"/>
        <v>1</v>
      </c>
      <c r="I21" s="12">
        <f t="shared" si="4"/>
        <v>2</v>
      </c>
      <c r="J21" s="12">
        <v>2</v>
      </c>
      <c r="K21" s="17"/>
    </row>
    <row r="22" spans="1:11" s="8" customFormat="1" ht="19.5" customHeight="1">
      <c r="A22" s="58" t="s">
        <v>14</v>
      </c>
      <c r="B22" s="59">
        <f>VLOOKUP(A22,'[10]單位人數分析'!$A$4:$C$48,3,0)</f>
        <v>21.5</v>
      </c>
      <c r="C22" s="59">
        <v>0.5</v>
      </c>
      <c r="D22" s="59">
        <v>0.5</v>
      </c>
      <c r="E22" s="60">
        <f t="shared" si="1"/>
        <v>0.023255813953488372</v>
      </c>
      <c r="F22" s="60">
        <f t="shared" si="0"/>
        <v>0.007894253717642739</v>
      </c>
      <c r="G22" s="61">
        <f>F22*$G$3</f>
        <v>0.6394345511290619</v>
      </c>
      <c r="H22" s="66">
        <f t="shared" si="3"/>
        <v>1</v>
      </c>
      <c r="I22" s="64">
        <f t="shared" si="4"/>
        <v>-0.5</v>
      </c>
      <c r="J22" s="65">
        <v>-0.5</v>
      </c>
      <c r="K22" s="17"/>
    </row>
    <row r="23" spans="1:11" ht="19.5" customHeight="1">
      <c r="A23" s="3" t="s">
        <v>15</v>
      </c>
      <c r="B23" s="22">
        <f>VLOOKUP(A23,'[10]單位人數分析'!$A$4:$C$48,3,0)</f>
        <v>23</v>
      </c>
      <c r="C23" s="22">
        <v>2</v>
      </c>
      <c r="D23" s="22">
        <v>3</v>
      </c>
      <c r="E23" s="23">
        <f t="shared" si="1"/>
        <v>0.13043478260869565</v>
      </c>
      <c r="F23" s="23">
        <f t="shared" si="0"/>
        <v>0.00844501560492014</v>
      </c>
      <c r="G23" s="24">
        <f t="shared" si="2"/>
        <v>0.6840462639985313</v>
      </c>
      <c r="H23" s="30">
        <f t="shared" si="3"/>
        <v>1</v>
      </c>
      <c r="I23" s="12">
        <f t="shared" si="4"/>
        <v>2</v>
      </c>
      <c r="J23" s="12">
        <v>2</v>
      </c>
      <c r="K23" s="17"/>
    </row>
    <row r="24" spans="1:11" ht="19.5" customHeight="1">
      <c r="A24" s="3" t="s">
        <v>16</v>
      </c>
      <c r="B24" s="22">
        <f>VLOOKUP(A24,'[10]單位人數分析'!$A$4:$C$48,3,0)</f>
        <v>26</v>
      </c>
      <c r="C24" s="22">
        <v>3</v>
      </c>
      <c r="D24" s="22">
        <v>3</v>
      </c>
      <c r="E24" s="23">
        <f t="shared" si="1"/>
        <v>0.11538461538461539</v>
      </c>
      <c r="F24" s="23">
        <f t="shared" si="0"/>
        <v>0.00954653937947494</v>
      </c>
      <c r="G24" s="24">
        <f>F24*$G$3</f>
        <v>0.7732696897374702</v>
      </c>
      <c r="H24" s="30">
        <f t="shared" si="3"/>
        <v>1</v>
      </c>
      <c r="I24" s="12">
        <f t="shared" si="4"/>
        <v>2</v>
      </c>
      <c r="J24" s="12">
        <v>6</v>
      </c>
      <c r="K24" s="17"/>
    </row>
    <row r="25" spans="1:11" s="7" customFormat="1" ht="19.5" customHeight="1">
      <c r="A25" s="58" t="s">
        <v>25</v>
      </c>
      <c r="B25" s="59">
        <f>VLOOKUP(A25,'[10]單位人數分析'!$A$4:$C$48,3,0)</f>
        <v>32</v>
      </c>
      <c r="C25" s="59">
        <v>0</v>
      </c>
      <c r="D25" s="59">
        <v>0</v>
      </c>
      <c r="E25" s="60">
        <f t="shared" si="1"/>
        <v>0</v>
      </c>
      <c r="F25" s="60">
        <f t="shared" si="0"/>
        <v>0.011749586928584542</v>
      </c>
      <c r="G25" s="61">
        <f>F25*$G$3</f>
        <v>0.9517165412153479</v>
      </c>
      <c r="H25" s="62">
        <f t="shared" si="3"/>
        <v>1</v>
      </c>
      <c r="I25" s="64">
        <f t="shared" si="4"/>
        <v>-1</v>
      </c>
      <c r="J25" s="65">
        <v>-1</v>
      </c>
      <c r="K25" s="17"/>
    </row>
    <row r="26" spans="1:11" ht="19.5" customHeight="1">
      <c r="A26" s="67" t="s">
        <v>47</v>
      </c>
      <c r="B26" s="59">
        <f>VLOOKUP(A26,'[10]單位人數分析'!$A$4:$C$48,3,0)</f>
        <v>37</v>
      </c>
      <c r="C26" s="59">
        <v>0</v>
      </c>
      <c r="D26" s="59">
        <v>0</v>
      </c>
      <c r="E26" s="60">
        <f t="shared" si="1"/>
        <v>0</v>
      </c>
      <c r="F26" s="60">
        <f t="shared" si="0"/>
        <v>0.013585459886175877</v>
      </c>
      <c r="G26" s="61">
        <f aca="true" t="shared" si="5" ref="G26:G34">F26*$G$3</f>
        <v>1.100422250780246</v>
      </c>
      <c r="H26" s="66">
        <f t="shared" si="3"/>
        <v>1</v>
      </c>
      <c r="I26" s="64">
        <f t="shared" si="4"/>
        <v>-1</v>
      </c>
      <c r="J26" s="65">
        <v>-1</v>
      </c>
      <c r="K26" s="17"/>
    </row>
    <row r="27" spans="1:11" ht="19.5" customHeight="1">
      <c r="A27" s="3" t="s">
        <v>17</v>
      </c>
      <c r="B27" s="22">
        <f>VLOOKUP(A27,'[10]單位人數分析'!$A$4:$C$48,3,0)</f>
        <v>3</v>
      </c>
      <c r="C27" s="22">
        <v>0</v>
      </c>
      <c r="D27" s="22">
        <v>0</v>
      </c>
      <c r="E27" s="23">
        <f t="shared" si="1"/>
        <v>0</v>
      </c>
      <c r="F27" s="23">
        <f t="shared" si="0"/>
        <v>0.0011015237745548008</v>
      </c>
      <c r="G27" s="24">
        <f t="shared" si="5"/>
        <v>0.08922342573893886</v>
      </c>
      <c r="H27" s="30">
        <f t="shared" si="3"/>
        <v>0</v>
      </c>
      <c r="I27" s="12">
        <f t="shared" si="4"/>
        <v>0</v>
      </c>
      <c r="J27" s="12">
        <v>0</v>
      </c>
      <c r="K27" s="17"/>
    </row>
    <row r="28" spans="1:11" ht="19.5" customHeight="1">
      <c r="A28" s="3" t="s">
        <v>18</v>
      </c>
      <c r="B28" s="22">
        <f>VLOOKUP(A28,'[10]單位人數分析'!$A$4:$C$48,3,0)</f>
        <v>1</v>
      </c>
      <c r="C28" s="22">
        <v>0</v>
      </c>
      <c r="D28" s="22">
        <v>0</v>
      </c>
      <c r="E28" s="23">
        <f t="shared" si="1"/>
        <v>0</v>
      </c>
      <c r="F28" s="23">
        <f t="shared" si="0"/>
        <v>0.00036717459151826694</v>
      </c>
      <c r="G28" s="24">
        <f t="shared" si="5"/>
        <v>0.02974114191297962</v>
      </c>
      <c r="H28" s="30">
        <f t="shared" si="3"/>
        <v>0</v>
      </c>
      <c r="I28" s="12">
        <f t="shared" si="4"/>
        <v>0</v>
      </c>
      <c r="J28" s="12">
        <v>0</v>
      </c>
      <c r="K28" s="17"/>
    </row>
    <row r="29" spans="1:11" ht="19.5" customHeight="1">
      <c r="A29" s="34" t="s">
        <v>48</v>
      </c>
      <c r="B29" s="22">
        <f>VLOOKUP(A29,'[10]單位人數分析'!$A$4:$C$48,3,0)</f>
        <v>17</v>
      </c>
      <c r="C29" s="22">
        <v>0</v>
      </c>
      <c r="D29" s="22">
        <v>0</v>
      </c>
      <c r="E29" s="23">
        <f t="shared" si="1"/>
        <v>0</v>
      </c>
      <c r="F29" s="23">
        <f t="shared" si="0"/>
        <v>0.006241968055810538</v>
      </c>
      <c r="G29" s="24">
        <f>F29*$G$3</f>
        <v>0.5055994125206535</v>
      </c>
      <c r="H29" s="30">
        <f t="shared" si="3"/>
        <v>1</v>
      </c>
      <c r="I29" s="12">
        <f t="shared" si="4"/>
        <v>-1</v>
      </c>
      <c r="J29" s="12">
        <v>0</v>
      </c>
      <c r="K29" s="17"/>
    </row>
    <row r="30" spans="1:11" ht="16.5">
      <c r="A30" s="9" t="s">
        <v>38</v>
      </c>
      <c r="B30" s="22">
        <f>VLOOKUP(A30,'[10]單位人數分析'!$A$4:$C$48,3,0)</f>
        <v>5</v>
      </c>
      <c r="C30" s="22">
        <v>0</v>
      </c>
      <c r="D30" s="22">
        <v>0</v>
      </c>
      <c r="E30" s="23">
        <f t="shared" si="1"/>
        <v>0</v>
      </c>
      <c r="F30" s="23">
        <f t="shared" si="0"/>
        <v>0.0018358729575913347</v>
      </c>
      <c r="G30" s="24">
        <f t="shared" si="5"/>
        <v>0.14870570956489812</v>
      </c>
      <c r="H30" s="30">
        <f t="shared" si="3"/>
        <v>0</v>
      </c>
      <c r="I30" s="12">
        <f t="shared" si="4"/>
        <v>0</v>
      </c>
      <c r="J30" s="12">
        <v>0</v>
      </c>
      <c r="K30" s="17"/>
    </row>
    <row r="31" spans="1:11" s="8" customFormat="1" ht="16.5">
      <c r="A31" s="58" t="s">
        <v>33</v>
      </c>
      <c r="B31" s="59">
        <f>VLOOKUP(A31,'[10]單位人數分析'!$A$4:$C$48,3,0)</f>
        <v>23</v>
      </c>
      <c r="C31" s="59">
        <v>0</v>
      </c>
      <c r="D31" s="59">
        <v>0</v>
      </c>
      <c r="E31" s="60">
        <f t="shared" si="1"/>
        <v>0</v>
      </c>
      <c r="F31" s="60">
        <f t="shared" si="0"/>
        <v>0.00844501560492014</v>
      </c>
      <c r="G31" s="61">
        <f>F31*$G$3</f>
        <v>0.6840462639985313</v>
      </c>
      <c r="H31" s="66">
        <f t="shared" si="3"/>
        <v>1</v>
      </c>
      <c r="I31" s="64">
        <f t="shared" si="4"/>
        <v>-1</v>
      </c>
      <c r="J31" s="65">
        <v>-1</v>
      </c>
      <c r="K31" s="17"/>
    </row>
    <row r="32" spans="1:11" s="8" customFormat="1" ht="16.5">
      <c r="A32" s="3" t="s">
        <v>37</v>
      </c>
      <c r="B32" s="22">
        <f>VLOOKUP(A32,'[10]單位人數分析'!$A$4:$C$48,3,0)</f>
        <v>25</v>
      </c>
      <c r="C32" s="33">
        <v>1</v>
      </c>
      <c r="D32" s="33">
        <v>1</v>
      </c>
      <c r="E32" s="69">
        <f t="shared" si="1"/>
        <v>0.04</v>
      </c>
      <c r="F32" s="69">
        <f t="shared" si="0"/>
        <v>0.009179364787956673</v>
      </c>
      <c r="G32" s="70">
        <f t="shared" si="5"/>
        <v>0.7435285478244905</v>
      </c>
      <c r="H32" s="30">
        <f t="shared" si="3"/>
        <v>1</v>
      </c>
      <c r="I32" s="21">
        <f t="shared" si="4"/>
        <v>0</v>
      </c>
      <c r="J32" s="12">
        <v>0</v>
      </c>
      <c r="K32" s="17"/>
    </row>
    <row r="33" spans="1:11" ht="16.5">
      <c r="A33" s="58" t="s">
        <v>40</v>
      </c>
      <c r="B33" s="59">
        <f>VLOOKUP(A33,'[10]單位人數分析'!$A$4:$C$48,3,0)</f>
        <v>139</v>
      </c>
      <c r="C33" s="68">
        <v>2</v>
      </c>
      <c r="D33" s="68">
        <v>2</v>
      </c>
      <c r="E33" s="60">
        <f t="shared" si="1"/>
        <v>0.014388489208633094</v>
      </c>
      <c r="F33" s="60">
        <f t="shared" si="0"/>
        <v>0.05103726822103911</v>
      </c>
      <c r="G33" s="61">
        <f>F33*$G$3</f>
        <v>4.134018725904168</v>
      </c>
      <c r="H33" s="66">
        <f t="shared" si="3"/>
        <v>4</v>
      </c>
      <c r="I33" s="64">
        <f t="shared" si="4"/>
        <v>-2</v>
      </c>
      <c r="J33" s="65">
        <v>-2</v>
      </c>
      <c r="K33" s="17"/>
    </row>
    <row r="34" spans="1:11" ht="16.5">
      <c r="A34" s="3" t="s">
        <v>39</v>
      </c>
      <c r="B34" s="22">
        <v>62</v>
      </c>
      <c r="C34" s="33">
        <v>2</v>
      </c>
      <c r="D34" s="33">
        <v>4</v>
      </c>
      <c r="E34" s="23">
        <f t="shared" si="1"/>
        <v>0.06451612903225806</v>
      </c>
      <c r="F34" s="23">
        <f t="shared" si="0"/>
        <v>0.02276482467413255</v>
      </c>
      <c r="G34" s="24">
        <f t="shared" si="5"/>
        <v>1.8439507986047368</v>
      </c>
      <c r="H34" s="30">
        <f>ROUND(G34,0)</f>
        <v>2</v>
      </c>
      <c r="I34" s="21">
        <f t="shared" si="4"/>
        <v>2</v>
      </c>
      <c r="J34" s="12">
        <v>2</v>
      </c>
      <c r="K34" s="17"/>
    </row>
    <row r="35" spans="1:11" s="37" customFormat="1" ht="33" customHeight="1">
      <c r="A35" s="44" t="s">
        <v>19</v>
      </c>
      <c r="B35" s="75" t="s">
        <v>98</v>
      </c>
      <c r="C35" s="76"/>
      <c r="D35" s="76"/>
      <c r="E35" s="76"/>
      <c r="F35" s="76"/>
      <c r="G35" s="76"/>
      <c r="H35" s="76"/>
      <c r="I35" s="76"/>
      <c r="J35" s="77"/>
      <c r="K35" s="45"/>
    </row>
    <row r="36" spans="1:11" ht="17.25" customHeight="1">
      <c r="A36" s="3" t="s">
        <v>29</v>
      </c>
      <c r="B36" s="33">
        <f>SUM(B4:B34)</f>
        <v>2723.5</v>
      </c>
      <c r="C36" s="33">
        <f>SUM(C4:C34)</f>
        <v>69.5</v>
      </c>
      <c r="D36" s="33">
        <f>SUM(D4:D34)</f>
        <v>83.5</v>
      </c>
      <c r="E36" s="4"/>
      <c r="F36" s="4"/>
      <c r="G36" s="46"/>
      <c r="H36" s="5"/>
      <c r="I36" s="14"/>
      <c r="J36" s="47"/>
      <c r="K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1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54"/>
    </row>
    <row r="42" spans="1:7" ht="16.5">
      <c r="A42" s="80" t="s">
        <v>97</v>
      </c>
      <c r="B42" s="80"/>
      <c r="C42" s="80"/>
      <c r="D42" s="80"/>
      <c r="E42" s="80"/>
      <c r="F42" s="80"/>
      <c r="G42" s="80"/>
    </row>
  </sheetData>
  <sheetProtection/>
  <mergeCells count="13">
    <mergeCell ref="F2:F3"/>
    <mergeCell ref="H2:H3"/>
    <mergeCell ref="I2:I3"/>
    <mergeCell ref="J2:J3"/>
    <mergeCell ref="B35:J35"/>
    <mergeCell ref="A41:J41"/>
    <mergeCell ref="A42:G42"/>
    <mergeCell ref="A1:J1"/>
    <mergeCell ref="A2:A3"/>
    <mergeCell ref="B2:B3"/>
    <mergeCell ref="C2:C3"/>
    <mergeCell ref="D2:D3"/>
    <mergeCell ref="E2:E3"/>
  </mergeCells>
  <printOptions/>
  <pageMargins left="0.5118110236220472" right="0.3937007874015748" top="0.984251968503937" bottom="0.984251968503937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0">
      <selection activeCell="B5" sqref="B5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9.625" style="50" customWidth="1"/>
    <col min="10" max="10" width="9.625" style="51" customWidth="1"/>
    <col min="11" max="12" width="9.625" style="42" customWidth="1"/>
    <col min="13" max="16384" width="9.00390625" style="1" customWidth="1"/>
  </cols>
  <sheetData>
    <row r="1" spans="1:13" ht="2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/>
      <c r="M1" s="39"/>
    </row>
    <row r="2" spans="1:12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23</v>
      </c>
      <c r="H2" s="90" t="s">
        <v>23</v>
      </c>
      <c r="I2" s="92" t="s">
        <v>53</v>
      </c>
      <c r="J2" s="73" t="s">
        <v>44</v>
      </c>
      <c r="K2" s="73" t="s">
        <v>54</v>
      </c>
      <c r="L2" s="41"/>
    </row>
    <row r="3" spans="1:12" s="42" customFormat="1" ht="68.25" customHeight="1">
      <c r="A3" s="82"/>
      <c r="B3" s="84"/>
      <c r="C3" s="84"/>
      <c r="D3" s="86"/>
      <c r="E3" s="87"/>
      <c r="F3" s="89"/>
      <c r="G3" s="15">
        <v>80</v>
      </c>
      <c r="H3" s="91"/>
      <c r="I3" s="93"/>
      <c r="J3" s="74"/>
      <c r="K3" s="74"/>
      <c r="L3" s="43"/>
    </row>
    <row r="4" spans="1:12" s="8" customFormat="1" ht="19.5" customHeight="1">
      <c r="A4" s="3" t="s">
        <v>2</v>
      </c>
      <c r="B4" s="22">
        <f>VLOOKUP(A4:A33,'[2]各單位人數(2672)'!$A$5:$B$47,2,0)-1</f>
        <v>198</v>
      </c>
      <c r="C4" s="22">
        <v>4</v>
      </c>
      <c r="D4" s="22">
        <v>6</v>
      </c>
      <c r="E4" s="23">
        <f>D4/B4</f>
        <v>0.030303030303030304</v>
      </c>
      <c r="F4" s="23">
        <f aca="true" t="shared" si="0" ref="F4:F34">B4/$B$36</f>
        <v>0.07410179640718563</v>
      </c>
      <c r="G4" s="24">
        <f>F4*$G$3</f>
        <v>5.92814371257485</v>
      </c>
      <c r="H4" s="25">
        <f>ROUND(G4,0)</f>
        <v>6</v>
      </c>
      <c r="I4" s="18">
        <f aca="true" t="shared" si="1" ref="I4:I26">D4/H4</f>
        <v>1</v>
      </c>
      <c r="J4" s="21">
        <f>D4-H4</f>
        <v>0</v>
      </c>
      <c r="K4" s="12">
        <v>2</v>
      </c>
      <c r="L4" s="17"/>
    </row>
    <row r="5" spans="1:12" s="8" customFormat="1" ht="19.5" customHeight="1">
      <c r="A5" s="10" t="s">
        <v>3</v>
      </c>
      <c r="B5" s="26">
        <f>VLOOKUP(A5:A34,'[2]各單位人數(2672)'!$A$5:$B$47,2,0)-2</f>
        <v>652</v>
      </c>
      <c r="C5" s="26">
        <v>15</v>
      </c>
      <c r="D5" s="26">
        <v>16</v>
      </c>
      <c r="E5" s="27">
        <f aca="true" t="shared" si="2" ref="E5:E34">D5/B5</f>
        <v>0.024539877300613498</v>
      </c>
      <c r="F5" s="27">
        <f t="shared" si="0"/>
        <v>0.2440119760479042</v>
      </c>
      <c r="G5" s="28">
        <f aca="true" t="shared" si="3" ref="G5:G23">F5*$G$3</f>
        <v>19.520958083832337</v>
      </c>
      <c r="H5" s="29">
        <f aca="true" t="shared" si="4" ref="H5:H33">ROUND(G5,0)</f>
        <v>20</v>
      </c>
      <c r="I5" s="19">
        <f t="shared" si="1"/>
        <v>0.8</v>
      </c>
      <c r="J5" s="16">
        <f aca="true" t="shared" si="5" ref="J5:J34">D5-H5</f>
        <v>-4</v>
      </c>
      <c r="K5" s="13">
        <v>-4</v>
      </c>
      <c r="L5" s="17"/>
    </row>
    <row r="6" spans="1:12" s="36" customFormat="1" ht="19.5" customHeight="1">
      <c r="A6" s="55" t="s">
        <v>4</v>
      </c>
      <c r="B6" s="26">
        <f>VLOOKUP(A6:A35,'[2]各單位人數(2672)'!$A$5:$B$47,2,0)-0.5</f>
        <v>142.5</v>
      </c>
      <c r="C6" s="26">
        <v>3.5</v>
      </c>
      <c r="D6" s="26">
        <v>3.5</v>
      </c>
      <c r="E6" s="27">
        <f t="shared" si="2"/>
        <v>0.02456140350877193</v>
      </c>
      <c r="F6" s="27">
        <f t="shared" si="0"/>
        <v>0.053330838323353294</v>
      </c>
      <c r="G6" s="28">
        <f t="shared" si="3"/>
        <v>4.266467065868263</v>
      </c>
      <c r="H6" s="29">
        <f t="shared" si="4"/>
        <v>4</v>
      </c>
      <c r="I6" s="19">
        <f t="shared" si="1"/>
        <v>0.875</v>
      </c>
      <c r="J6" s="16">
        <f t="shared" si="5"/>
        <v>-0.5</v>
      </c>
      <c r="K6" s="13">
        <v>-1</v>
      </c>
      <c r="L6" s="17"/>
    </row>
    <row r="7" spans="1:12" s="7" customFormat="1" ht="19.5" customHeight="1">
      <c r="A7" s="55" t="s">
        <v>5</v>
      </c>
      <c r="B7" s="26">
        <f>VLOOKUP(A7:A36,'[2]各單位人數(2672)'!$A$5:$B$47,2,0)-0.5</f>
        <v>245.5</v>
      </c>
      <c r="C7" s="26">
        <v>4.5</v>
      </c>
      <c r="D7" s="26">
        <v>5.5</v>
      </c>
      <c r="E7" s="27">
        <f t="shared" si="2"/>
        <v>0.02240325865580448</v>
      </c>
      <c r="F7" s="27">
        <f t="shared" si="0"/>
        <v>0.09187874251497007</v>
      </c>
      <c r="G7" s="28">
        <f t="shared" si="3"/>
        <v>7.3502994011976055</v>
      </c>
      <c r="H7" s="29">
        <f t="shared" si="4"/>
        <v>7</v>
      </c>
      <c r="I7" s="19">
        <f t="shared" si="1"/>
        <v>0.7857142857142857</v>
      </c>
      <c r="J7" s="16">
        <f t="shared" si="5"/>
        <v>-1.5</v>
      </c>
      <c r="K7" s="13">
        <v>-1.5</v>
      </c>
      <c r="L7" s="17"/>
    </row>
    <row r="8" spans="1:12" ht="19.5" customHeight="1">
      <c r="A8" s="56" t="s">
        <v>6</v>
      </c>
      <c r="B8" s="22">
        <f>VLOOKUP(A8:A37,'[2]各單位人數(2672)'!$A$5:$B$47,2,0)</f>
        <v>151</v>
      </c>
      <c r="C8" s="22">
        <v>5</v>
      </c>
      <c r="D8" s="22">
        <v>5</v>
      </c>
      <c r="E8" s="23">
        <f t="shared" si="2"/>
        <v>0.033112582781456956</v>
      </c>
      <c r="F8" s="23">
        <f t="shared" si="0"/>
        <v>0.05651197604790419</v>
      </c>
      <c r="G8" s="24">
        <f>F8*$G$3</f>
        <v>4.520958083832335</v>
      </c>
      <c r="H8" s="25">
        <f t="shared" si="4"/>
        <v>5</v>
      </c>
      <c r="I8" s="18">
        <f t="shared" si="1"/>
        <v>1</v>
      </c>
      <c r="J8" s="12">
        <f t="shared" si="5"/>
        <v>0</v>
      </c>
      <c r="K8" s="12">
        <v>1</v>
      </c>
      <c r="L8" s="17"/>
    </row>
    <row r="9" spans="1:12" ht="19.5" customHeight="1">
      <c r="A9" s="55" t="s">
        <v>7</v>
      </c>
      <c r="B9" s="26">
        <f>VLOOKUP(A9:A38,'[2]各單位人數(2672)'!$A$5:$B$47,2,0)-0.5</f>
        <v>158.5</v>
      </c>
      <c r="C9" s="26">
        <v>3.5</v>
      </c>
      <c r="D9" s="26">
        <v>3.5</v>
      </c>
      <c r="E9" s="27">
        <f t="shared" si="2"/>
        <v>0.022082018927444796</v>
      </c>
      <c r="F9" s="27">
        <f t="shared" si="0"/>
        <v>0.0593188622754491</v>
      </c>
      <c r="G9" s="28">
        <f t="shared" si="3"/>
        <v>4.745508982035928</v>
      </c>
      <c r="H9" s="29">
        <f t="shared" si="4"/>
        <v>5</v>
      </c>
      <c r="I9" s="19">
        <f t="shared" si="1"/>
        <v>0.7</v>
      </c>
      <c r="J9" s="16">
        <f t="shared" si="5"/>
        <v>-1.5</v>
      </c>
      <c r="K9" s="13">
        <v>-1.5</v>
      </c>
      <c r="L9" s="17"/>
    </row>
    <row r="10" spans="1:12" ht="19.5" customHeight="1">
      <c r="A10" s="56" t="s">
        <v>26</v>
      </c>
      <c r="B10" s="22">
        <f>VLOOKUP(A10:A39,'[2]各單位人數(2672)'!$A$5:$B$47,2,0)</f>
        <v>164</v>
      </c>
      <c r="C10" s="22">
        <v>4</v>
      </c>
      <c r="D10" s="22">
        <v>5</v>
      </c>
      <c r="E10" s="23">
        <f t="shared" si="2"/>
        <v>0.03048780487804878</v>
      </c>
      <c r="F10" s="23">
        <f t="shared" si="0"/>
        <v>0.061377245508982034</v>
      </c>
      <c r="G10" s="24">
        <f>F10*$G$3</f>
        <v>4.910179640718563</v>
      </c>
      <c r="H10" s="25">
        <f t="shared" si="4"/>
        <v>5</v>
      </c>
      <c r="I10" s="18">
        <f t="shared" si="1"/>
        <v>1</v>
      </c>
      <c r="J10" s="12">
        <f t="shared" si="5"/>
        <v>0</v>
      </c>
      <c r="K10" s="12">
        <v>1</v>
      </c>
      <c r="L10" s="17"/>
    </row>
    <row r="11" spans="1:12" s="57" customFormat="1" ht="19.5" customHeight="1">
      <c r="A11" s="55" t="s">
        <v>28</v>
      </c>
      <c r="B11" s="26">
        <f>VLOOKUP(A11:A40,'[2]各單位人數(2672)'!$A$5:$B$47,2,0)</f>
        <v>58</v>
      </c>
      <c r="C11" s="26">
        <v>1</v>
      </c>
      <c r="D11" s="26">
        <v>1</v>
      </c>
      <c r="E11" s="27">
        <f t="shared" si="2"/>
        <v>0.017241379310344827</v>
      </c>
      <c r="F11" s="27">
        <f t="shared" si="0"/>
        <v>0.021706586826347306</v>
      </c>
      <c r="G11" s="28">
        <f t="shared" si="3"/>
        <v>1.7365269461077846</v>
      </c>
      <c r="H11" s="29">
        <f t="shared" si="4"/>
        <v>2</v>
      </c>
      <c r="I11" s="19">
        <f t="shared" si="1"/>
        <v>0.5</v>
      </c>
      <c r="J11" s="16">
        <f t="shared" si="5"/>
        <v>-1</v>
      </c>
      <c r="K11" s="13">
        <v>-1</v>
      </c>
      <c r="L11" s="17"/>
    </row>
    <row r="12" spans="1:12" s="57" customFormat="1" ht="19.5" customHeight="1">
      <c r="A12" s="56" t="s">
        <v>34</v>
      </c>
      <c r="B12" s="22">
        <f>VLOOKUP(A12:A41,'[2]各單位人數(2672)'!$A$5:$B$47,2,0)-0.5</f>
        <v>100.5</v>
      </c>
      <c r="C12" s="22">
        <v>3.5</v>
      </c>
      <c r="D12" s="22">
        <v>4.5</v>
      </c>
      <c r="E12" s="23">
        <f t="shared" si="2"/>
        <v>0.04477611940298507</v>
      </c>
      <c r="F12" s="23">
        <f t="shared" si="0"/>
        <v>0.0376122754491018</v>
      </c>
      <c r="G12" s="24">
        <f>F12*$G$3</f>
        <v>3.0089820359281436</v>
      </c>
      <c r="H12" s="25">
        <f t="shared" si="4"/>
        <v>3</v>
      </c>
      <c r="I12" s="18">
        <f t="shared" si="1"/>
        <v>1.5</v>
      </c>
      <c r="J12" s="12">
        <f t="shared" si="5"/>
        <v>1.5</v>
      </c>
      <c r="K12" s="12">
        <v>1</v>
      </c>
      <c r="L12" s="17"/>
    </row>
    <row r="13" spans="1:12" s="36" customFormat="1" ht="19.5" customHeight="1">
      <c r="A13" s="56" t="s">
        <v>8</v>
      </c>
      <c r="B13" s="22">
        <f>VLOOKUP(A13:A42,'[2]各單位人數(2672)'!$A$5:$B$47,2,0)</f>
        <v>26</v>
      </c>
      <c r="C13" s="22">
        <v>0</v>
      </c>
      <c r="D13" s="22">
        <v>0</v>
      </c>
      <c r="E13" s="23">
        <f t="shared" si="2"/>
        <v>0</v>
      </c>
      <c r="F13" s="23">
        <f t="shared" si="0"/>
        <v>0.009730538922155689</v>
      </c>
      <c r="G13" s="24">
        <f t="shared" si="3"/>
        <v>0.7784431137724551</v>
      </c>
      <c r="H13" s="25">
        <f t="shared" si="4"/>
        <v>1</v>
      </c>
      <c r="I13" s="18">
        <f t="shared" si="1"/>
        <v>0</v>
      </c>
      <c r="J13" s="12">
        <f t="shared" si="5"/>
        <v>-1</v>
      </c>
      <c r="K13" s="12">
        <v>0</v>
      </c>
      <c r="L13" s="17"/>
    </row>
    <row r="14" spans="1:12" ht="19.5" customHeight="1">
      <c r="A14" s="9" t="s">
        <v>36</v>
      </c>
      <c r="B14" s="22">
        <f>VLOOKUP(A14:A43,'[2]各單位人數(2672)'!$A$5:$B$47,2,0)</f>
        <v>5</v>
      </c>
      <c r="C14" s="22">
        <v>0</v>
      </c>
      <c r="D14" s="22">
        <v>0</v>
      </c>
      <c r="E14" s="23">
        <f t="shared" si="2"/>
        <v>0</v>
      </c>
      <c r="F14" s="23">
        <f t="shared" si="0"/>
        <v>0.0018712574850299401</v>
      </c>
      <c r="G14" s="24">
        <f t="shared" si="3"/>
        <v>0.14970059880239522</v>
      </c>
      <c r="H14" s="30">
        <f t="shared" si="4"/>
        <v>0</v>
      </c>
      <c r="I14" s="18" t="s">
        <v>43</v>
      </c>
      <c r="J14" s="12">
        <f t="shared" si="5"/>
        <v>0</v>
      </c>
      <c r="K14" s="12">
        <v>0</v>
      </c>
      <c r="L14" s="17"/>
    </row>
    <row r="15" spans="1:12" s="37" customFormat="1" ht="19.5" customHeight="1">
      <c r="A15" s="10" t="s">
        <v>9</v>
      </c>
      <c r="B15" s="26">
        <f>VLOOKUP(A15:A44,'[2]各單位人數(2672)'!$A$5:$B$47,2,0)</f>
        <v>89</v>
      </c>
      <c r="C15" s="26">
        <v>1</v>
      </c>
      <c r="D15" s="26">
        <v>1</v>
      </c>
      <c r="E15" s="27">
        <f t="shared" si="2"/>
        <v>0.011235955056179775</v>
      </c>
      <c r="F15" s="27">
        <f t="shared" si="0"/>
        <v>0.03330838323353293</v>
      </c>
      <c r="G15" s="28">
        <f t="shared" si="3"/>
        <v>2.6646706586826348</v>
      </c>
      <c r="H15" s="31">
        <f t="shared" si="4"/>
        <v>3</v>
      </c>
      <c r="I15" s="19">
        <f t="shared" si="1"/>
        <v>0.3333333333333333</v>
      </c>
      <c r="J15" s="16">
        <f t="shared" si="5"/>
        <v>-2</v>
      </c>
      <c r="K15" s="13">
        <v>-1</v>
      </c>
      <c r="L15" s="17"/>
    </row>
    <row r="16" spans="1:12" ht="19.5" customHeight="1">
      <c r="A16" s="3" t="s">
        <v>42</v>
      </c>
      <c r="B16" s="22">
        <f>VLOOKUP(A16:A45,'[2]各單位人數(2672)'!$A$5:$B$47,2,0)</f>
        <v>97</v>
      </c>
      <c r="C16" s="22">
        <v>3</v>
      </c>
      <c r="D16" s="22">
        <v>4</v>
      </c>
      <c r="E16" s="23">
        <f t="shared" si="2"/>
        <v>0.041237113402061855</v>
      </c>
      <c r="F16" s="23">
        <f t="shared" si="0"/>
        <v>0.03630239520958084</v>
      </c>
      <c r="G16" s="24">
        <f>F16*$G$3</f>
        <v>2.904191616766467</v>
      </c>
      <c r="H16" s="30">
        <f t="shared" si="4"/>
        <v>3</v>
      </c>
      <c r="I16" s="18">
        <f t="shared" si="1"/>
        <v>1.3333333333333333</v>
      </c>
      <c r="J16" s="12">
        <f t="shared" si="5"/>
        <v>1</v>
      </c>
      <c r="K16" s="12">
        <v>2</v>
      </c>
      <c r="L16" s="17"/>
    </row>
    <row r="17" spans="1:12" ht="19.5" customHeight="1">
      <c r="A17" s="3" t="s">
        <v>10</v>
      </c>
      <c r="B17" s="22">
        <f>VLOOKUP(A17:A46,'[2]各單位人數(2672)'!$A$5:$B$47,2,0)</f>
        <v>51</v>
      </c>
      <c r="C17" s="22">
        <v>2</v>
      </c>
      <c r="D17" s="22">
        <v>4</v>
      </c>
      <c r="E17" s="23">
        <f t="shared" si="2"/>
        <v>0.0784313725490196</v>
      </c>
      <c r="F17" s="23">
        <f t="shared" si="0"/>
        <v>0.01908682634730539</v>
      </c>
      <c r="G17" s="24">
        <f t="shared" si="3"/>
        <v>1.5269461077844313</v>
      </c>
      <c r="H17" s="30">
        <f t="shared" si="4"/>
        <v>2</v>
      </c>
      <c r="I17" s="18">
        <f t="shared" si="1"/>
        <v>2</v>
      </c>
      <c r="J17" s="12">
        <f t="shared" si="5"/>
        <v>2</v>
      </c>
      <c r="K17" s="12">
        <v>4</v>
      </c>
      <c r="L17" s="17"/>
    </row>
    <row r="18" spans="1:12" s="37" customFormat="1" ht="19.5" customHeight="1">
      <c r="A18" s="3" t="s">
        <v>11</v>
      </c>
      <c r="B18" s="22">
        <f>VLOOKUP(A18:A47,'[2]各單位人數(2672)'!$A$5:$B$47,2,0)</f>
        <v>44</v>
      </c>
      <c r="C18" s="22">
        <v>1</v>
      </c>
      <c r="D18" s="22">
        <v>2</v>
      </c>
      <c r="E18" s="23">
        <f t="shared" si="2"/>
        <v>0.045454545454545456</v>
      </c>
      <c r="F18" s="23">
        <f t="shared" si="0"/>
        <v>0.016467065868263474</v>
      </c>
      <c r="G18" s="24">
        <f t="shared" si="3"/>
        <v>1.317365269461078</v>
      </c>
      <c r="H18" s="30">
        <f t="shared" si="4"/>
        <v>1</v>
      </c>
      <c r="I18" s="18">
        <f t="shared" si="1"/>
        <v>2</v>
      </c>
      <c r="J18" s="12">
        <f t="shared" si="5"/>
        <v>1</v>
      </c>
      <c r="K18" s="12">
        <v>1</v>
      </c>
      <c r="L18" s="17"/>
    </row>
    <row r="19" spans="1:12" ht="19.5" customHeight="1">
      <c r="A19" s="10" t="s">
        <v>12</v>
      </c>
      <c r="B19" s="26">
        <f>VLOOKUP(A19:A48,'[2]各單位人數(2672)'!$A$5:$B$47,2,0)</f>
        <v>19</v>
      </c>
      <c r="C19" s="26">
        <v>0</v>
      </c>
      <c r="D19" s="26">
        <v>0</v>
      </c>
      <c r="E19" s="27">
        <f t="shared" si="2"/>
        <v>0</v>
      </c>
      <c r="F19" s="27">
        <f t="shared" si="0"/>
        <v>0.007110778443113772</v>
      </c>
      <c r="G19" s="28">
        <f t="shared" si="3"/>
        <v>0.5688622754491017</v>
      </c>
      <c r="H19" s="31">
        <f t="shared" si="4"/>
        <v>1</v>
      </c>
      <c r="I19" s="19">
        <f t="shared" si="1"/>
        <v>0</v>
      </c>
      <c r="J19" s="16">
        <f t="shared" si="5"/>
        <v>-1</v>
      </c>
      <c r="K19" s="13">
        <v>-1</v>
      </c>
      <c r="L19" s="17"/>
    </row>
    <row r="20" spans="1:12" ht="18.75" customHeight="1">
      <c r="A20" s="3" t="s">
        <v>32</v>
      </c>
      <c r="B20" s="22">
        <f>VLOOKUP(A20:A49,'[2]各單位人數(2672)'!$A$5:$B$47,2,0)</f>
        <v>25</v>
      </c>
      <c r="C20" s="22">
        <v>1</v>
      </c>
      <c r="D20" s="22">
        <v>1</v>
      </c>
      <c r="E20" s="23">
        <f t="shared" si="2"/>
        <v>0.04</v>
      </c>
      <c r="F20" s="23">
        <f t="shared" si="0"/>
        <v>0.0093562874251497</v>
      </c>
      <c r="G20" s="24">
        <f>F20*$G$3</f>
        <v>0.748502994011976</v>
      </c>
      <c r="H20" s="30">
        <f t="shared" si="4"/>
        <v>1</v>
      </c>
      <c r="I20" s="18">
        <f t="shared" si="1"/>
        <v>1</v>
      </c>
      <c r="J20" s="12">
        <f t="shared" si="5"/>
        <v>0</v>
      </c>
      <c r="K20" s="12">
        <v>0</v>
      </c>
      <c r="L20" s="17"/>
    </row>
    <row r="21" spans="1:12" ht="19.5" customHeight="1">
      <c r="A21" s="3" t="s">
        <v>13</v>
      </c>
      <c r="B21" s="22">
        <f>VLOOKUP(A21:A50,'[2]各單位人數(2672)'!$A$5:$B$47,2,0)</f>
        <v>41</v>
      </c>
      <c r="C21" s="22">
        <v>2</v>
      </c>
      <c r="D21" s="22">
        <v>3</v>
      </c>
      <c r="E21" s="23">
        <f t="shared" si="2"/>
        <v>0.07317073170731707</v>
      </c>
      <c r="F21" s="23">
        <f t="shared" si="0"/>
        <v>0.015344311377245509</v>
      </c>
      <c r="G21" s="24">
        <f t="shared" si="3"/>
        <v>1.2275449101796407</v>
      </c>
      <c r="H21" s="30">
        <f t="shared" si="4"/>
        <v>1</v>
      </c>
      <c r="I21" s="18">
        <f t="shared" si="1"/>
        <v>3</v>
      </c>
      <c r="J21" s="12">
        <f t="shared" si="5"/>
        <v>2</v>
      </c>
      <c r="K21" s="12">
        <v>2</v>
      </c>
      <c r="L21" s="17"/>
    </row>
    <row r="22" spans="1:12" s="8" customFormat="1" ht="19.5" customHeight="1">
      <c r="A22" s="10" t="s">
        <v>14</v>
      </c>
      <c r="B22" s="26">
        <f>VLOOKUP(A22:A51,'[2]各單位人數(2672)'!$A$5:$B$47,2,0)</f>
        <v>22</v>
      </c>
      <c r="C22" s="26">
        <v>0</v>
      </c>
      <c r="D22" s="26">
        <v>0</v>
      </c>
      <c r="E22" s="27">
        <f t="shared" si="2"/>
        <v>0</v>
      </c>
      <c r="F22" s="27">
        <f t="shared" si="0"/>
        <v>0.008233532934131737</v>
      </c>
      <c r="G22" s="28">
        <f>F22*$G$3</f>
        <v>0.658682634730539</v>
      </c>
      <c r="H22" s="31">
        <f t="shared" si="4"/>
        <v>1</v>
      </c>
      <c r="I22" s="19">
        <f t="shared" si="1"/>
        <v>0</v>
      </c>
      <c r="J22" s="16">
        <f t="shared" si="5"/>
        <v>-1</v>
      </c>
      <c r="K22" s="13">
        <v>-1</v>
      </c>
      <c r="L22" s="17"/>
    </row>
    <row r="23" spans="1:12" ht="19.5" customHeight="1">
      <c r="A23" s="3" t="s">
        <v>15</v>
      </c>
      <c r="B23" s="22">
        <f>VLOOKUP(A23:A52,'[2]各單位人數(2672)'!$A$5:$B$47,2,0)</f>
        <v>28</v>
      </c>
      <c r="C23" s="22">
        <v>2</v>
      </c>
      <c r="D23" s="22">
        <v>2</v>
      </c>
      <c r="E23" s="23">
        <f t="shared" si="2"/>
        <v>0.07142857142857142</v>
      </c>
      <c r="F23" s="23">
        <f t="shared" si="0"/>
        <v>0.010479041916167664</v>
      </c>
      <c r="G23" s="24">
        <f t="shared" si="3"/>
        <v>0.8383233532934131</v>
      </c>
      <c r="H23" s="30">
        <f t="shared" si="4"/>
        <v>1</v>
      </c>
      <c r="I23" s="18">
        <f t="shared" si="1"/>
        <v>2</v>
      </c>
      <c r="J23" s="12">
        <f t="shared" si="5"/>
        <v>1</v>
      </c>
      <c r="K23" s="12">
        <v>1</v>
      </c>
      <c r="L23" s="17"/>
    </row>
    <row r="24" spans="1:12" ht="19.5" customHeight="1">
      <c r="A24" s="3" t="s">
        <v>16</v>
      </c>
      <c r="B24" s="22">
        <f>VLOOKUP(A24:A53,'[2]各單位人數(2672)'!$A$5:$B$47,2,0)-0.5</f>
        <v>30.5</v>
      </c>
      <c r="C24" s="22">
        <v>8.5</v>
      </c>
      <c r="D24" s="22">
        <v>11.5</v>
      </c>
      <c r="E24" s="23">
        <f t="shared" si="2"/>
        <v>0.3770491803278688</v>
      </c>
      <c r="F24" s="23">
        <f t="shared" si="0"/>
        <v>0.011414670658682635</v>
      </c>
      <c r="G24" s="24">
        <f>F24*$G$3</f>
        <v>0.9131736526946108</v>
      </c>
      <c r="H24" s="30">
        <f t="shared" si="4"/>
        <v>1</v>
      </c>
      <c r="I24" s="18">
        <f t="shared" si="1"/>
        <v>11.5</v>
      </c>
      <c r="J24" s="12">
        <f t="shared" si="5"/>
        <v>10.5</v>
      </c>
      <c r="K24" s="12">
        <v>9</v>
      </c>
      <c r="L24" s="17"/>
    </row>
    <row r="25" spans="1:12" s="7" customFormat="1" ht="19.5" customHeight="1">
      <c r="A25" s="55" t="s">
        <v>25</v>
      </c>
      <c r="B25" s="26">
        <f>VLOOKUP(A25:A54,'[2]各單位人數(2672)'!$A$5:$B$47,2,0)</f>
        <v>29</v>
      </c>
      <c r="C25" s="26">
        <v>0</v>
      </c>
      <c r="D25" s="26">
        <v>0</v>
      </c>
      <c r="E25" s="27">
        <f t="shared" si="2"/>
        <v>0</v>
      </c>
      <c r="F25" s="27">
        <f t="shared" si="0"/>
        <v>0.010853293413173653</v>
      </c>
      <c r="G25" s="28">
        <f>F25*$G$3</f>
        <v>0.8682634730538923</v>
      </c>
      <c r="H25" s="29">
        <f t="shared" si="4"/>
        <v>1</v>
      </c>
      <c r="I25" s="19">
        <f t="shared" si="1"/>
        <v>0</v>
      </c>
      <c r="J25" s="16">
        <f t="shared" si="5"/>
        <v>-1</v>
      </c>
      <c r="K25" s="13">
        <v>-1</v>
      </c>
      <c r="L25" s="17"/>
    </row>
    <row r="26" spans="1:12" ht="19.5" customHeight="1">
      <c r="A26" s="10" t="s">
        <v>55</v>
      </c>
      <c r="B26" s="26">
        <f>VLOOKUP(A26:A55,'[2]各單位人數(2672)'!$A$5:$B$47,2,0)</f>
        <v>34</v>
      </c>
      <c r="C26" s="26">
        <v>0</v>
      </c>
      <c r="D26" s="26">
        <v>0</v>
      </c>
      <c r="E26" s="27">
        <f t="shared" si="2"/>
        <v>0</v>
      </c>
      <c r="F26" s="27">
        <f t="shared" si="0"/>
        <v>0.012724550898203593</v>
      </c>
      <c r="G26" s="28">
        <f aca="true" t="shared" si="6" ref="G26:G34">F26*$G$3</f>
        <v>1.0179640718562875</v>
      </c>
      <c r="H26" s="31">
        <f t="shared" si="4"/>
        <v>1</v>
      </c>
      <c r="I26" s="19">
        <f t="shared" si="1"/>
        <v>0</v>
      </c>
      <c r="J26" s="16">
        <f t="shared" si="5"/>
        <v>-1</v>
      </c>
      <c r="K26" s="13">
        <v>-1</v>
      </c>
      <c r="L26" s="17"/>
    </row>
    <row r="27" spans="1:12" ht="19.5" customHeight="1">
      <c r="A27" s="3" t="s">
        <v>17</v>
      </c>
      <c r="B27" s="22">
        <f>VLOOKUP(A27:A56,'[2]各單位人數(2672)'!$A$5:$B$47,2,0)</f>
        <v>2</v>
      </c>
      <c r="C27" s="22">
        <v>0</v>
      </c>
      <c r="D27" s="22">
        <v>0</v>
      </c>
      <c r="E27" s="23">
        <f t="shared" si="2"/>
        <v>0</v>
      </c>
      <c r="F27" s="23">
        <f t="shared" si="0"/>
        <v>0.0007485029940119761</v>
      </c>
      <c r="G27" s="24">
        <f t="shared" si="6"/>
        <v>0.059880239520958084</v>
      </c>
      <c r="H27" s="30">
        <f t="shared" si="4"/>
        <v>0</v>
      </c>
      <c r="I27" s="18" t="s">
        <v>43</v>
      </c>
      <c r="J27" s="12">
        <f t="shared" si="5"/>
        <v>0</v>
      </c>
      <c r="K27" s="12">
        <v>0</v>
      </c>
      <c r="L27" s="17"/>
    </row>
    <row r="28" spans="1:12" ht="19.5" customHeight="1">
      <c r="A28" s="3" t="s">
        <v>18</v>
      </c>
      <c r="B28" s="22">
        <f>VLOOKUP(A28:A57,'[2]各單位人數(2672)'!$A$5:$B$47,2,0)</f>
        <v>1</v>
      </c>
      <c r="C28" s="22">
        <v>0</v>
      </c>
      <c r="D28" s="22">
        <v>0</v>
      </c>
      <c r="E28" s="23">
        <f t="shared" si="2"/>
        <v>0</v>
      </c>
      <c r="F28" s="23">
        <f t="shared" si="0"/>
        <v>0.00037425149700598805</v>
      </c>
      <c r="G28" s="24">
        <f t="shared" si="6"/>
        <v>0.029940119760479042</v>
      </c>
      <c r="H28" s="30">
        <f t="shared" si="4"/>
        <v>0</v>
      </c>
      <c r="I28" s="18" t="s">
        <v>43</v>
      </c>
      <c r="J28" s="12">
        <f t="shared" si="5"/>
        <v>0</v>
      </c>
      <c r="K28" s="12">
        <v>0</v>
      </c>
      <c r="L28" s="17"/>
    </row>
    <row r="29" spans="1:12" ht="19.5" customHeight="1">
      <c r="A29" s="3" t="s">
        <v>56</v>
      </c>
      <c r="B29" s="22">
        <f>VLOOKUP(A29:A58,'[2]各單位人數(2672)'!$A$5:$B$47,2,0)</f>
        <v>14</v>
      </c>
      <c r="C29" s="22">
        <v>0</v>
      </c>
      <c r="D29" s="22">
        <v>0</v>
      </c>
      <c r="E29" s="23">
        <f t="shared" si="2"/>
        <v>0</v>
      </c>
      <c r="F29" s="23">
        <f t="shared" si="0"/>
        <v>0.005239520958083832</v>
      </c>
      <c r="G29" s="24">
        <f>F29*$G$3</f>
        <v>0.41916167664670656</v>
      </c>
      <c r="H29" s="30">
        <f t="shared" si="4"/>
        <v>0</v>
      </c>
      <c r="I29" s="18" t="s">
        <v>43</v>
      </c>
      <c r="J29" s="12">
        <f t="shared" si="5"/>
        <v>0</v>
      </c>
      <c r="K29" s="12">
        <v>0</v>
      </c>
      <c r="L29" s="17"/>
    </row>
    <row r="30" spans="1:12" ht="16.5">
      <c r="A30" s="9" t="s">
        <v>38</v>
      </c>
      <c r="B30" s="22">
        <f>VLOOKUP(A30:A59,'[2]各單位人數(2672)'!$A$5:$B$47,2,0)</f>
        <v>6</v>
      </c>
      <c r="C30" s="22">
        <v>0</v>
      </c>
      <c r="D30" s="22">
        <v>0</v>
      </c>
      <c r="E30" s="23">
        <f t="shared" si="2"/>
        <v>0</v>
      </c>
      <c r="F30" s="23">
        <f t="shared" si="0"/>
        <v>0.002245508982035928</v>
      </c>
      <c r="G30" s="24">
        <f t="shared" si="6"/>
        <v>0.17964071856287425</v>
      </c>
      <c r="H30" s="30">
        <f t="shared" si="4"/>
        <v>0</v>
      </c>
      <c r="I30" s="18" t="s">
        <v>43</v>
      </c>
      <c r="J30" s="12">
        <f t="shared" si="5"/>
        <v>0</v>
      </c>
      <c r="K30" s="12">
        <v>0</v>
      </c>
      <c r="L30" s="17"/>
    </row>
    <row r="31" spans="1:12" s="8" customFormat="1" ht="16.5">
      <c r="A31" s="10" t="s">
        <v>33</v>
      </c>
      <c r="B31" s="26">
        <f>VLOOKUP(A31:A60,'[2]各單位人數(2672)'!$A$5:$B$47,2,0)</f>
        <v>29</v>
      </c>
      <c r="C31" s="26">
        <v>0</v>
      </c>
      <c r="D31" s="26">
        <v>0</v>
      </c>
      <c r="E31" s="27">
        <f t="shared" si="2"/>
        <v>0</v>
      </c>
      <c r="F31" s="27">
        <f t="shared" si="0"/>
        <v>0.010853293413173653</v>
      </c>
      <c r="G31" s="28">
        <f>F31*$G$3</f>
        <v>0.8682634730538923</v>
      </c>
      <c r="H31" s="31">
        <f t="shared" si="4"/>
        <v>1</v>
      </c>
      <c r="I31" s="19">
        <f>D31/H31</f>
        <v>0</v>
      </c>
      <c r="J31" s="16">
        <f t="shared" si="5"/>
        <v>-1</v>
      </c>
      <c r="K31" s="13">
        <v>-1</v>
      </c>
      <c r="L31" s="17"/>
    </row>
    <row r="32" spans="1:12" s="8" customFormat="1" ht="16.5">
      <c r="A32" s="10" t="s">
        <v>37</v>
      </c>
      <c r="B32" s="26">
        <f>VLOOKUP(A32:A61,'[2]各單位人數(2672)'!$A$5:$B$47,2,0)-0.5</f>
        <v>26.5</v>
      </c>
      <c r="C32" s="26">
        <v>1</v>
      </c>
      <c r="D32" s="26">
        <v>0.5</v>
      </c>
      <c r="E32" s="27">
        <f t="shared" si="2"/>
        <v>0.018867924528301886</v>
      </c>
      <c r="F32" s="27">
        <f t="shared" si="0"/>
        <v>0.009917664670658683</v>
      </c>
      <c r="G32" s="28">
        <f t="shared" si="6"/>
        <v>0.7934131736526946</v>
      </c>
      <c r="H32" s="31">
        <f t="shared" si="4"/>
        <v>1</v>
      </c>
      <c r="I32" s="19">
        <f>D32/H32</f>
        <v>0.5</v>
      </c>
      <c r="J32" s="16">
        <f t="shared" si="5"/>
        <v>-0.5</v>
      </c>
      <c r="K32" s="13">
        <v>-1</v>
      </c>
      <c r="L32" s="17"/>
    </row>
    <row r="33" spans="1:12" ht="16.5">
      <c r="A33" s="10" t="s">
        <v>40</v>
      </c>
      <c r="B33" s="26">
        <f>VLOOKUP(A33:A62,'[2]各單位人數(2672)'!$A$5:$B$47,2,0)</f>
        <v>124</v>
      </c>
      <c r="C33" s="32">
        <v>2</v>
      </c>
      <c r="D33" s="32">
        <v>2</v>
      </c>
      <c r="E33" s="27">
        <f t="shared" si="2"/>
        <v>0.016129032258064516</v>
      </c>
      <c r="F33" s="27">
        <f t="shared" si="0"/>
        <v>0.04640718562874251</v>
      </c>
      <c r="G33" s="28">
        <f>F33*$G$3</f>
        <v>3.712574850299401</v>
      </c>
      <c r="H33" s="31">
        <f t="shared" si="4"/>
        <v>4</v>
      </c>
      <c r="I33" s="19">
        <f>D33/H33</f>
        <v>0.5</v>
      </c>
      <c r="J33" s="16">
        <f t="shared" si="5"/>
        <v>-2</v>
      </c>
      <c r="K33" s="13">
        <v>-2</v>
      </c>
      <c r="L33" s="17"/>
    </row>
    <row r="34" spans="1:12" ht="16.5">
      <c r="A34" s="3" t="s">
        <v>39</v>
      </c>
      <c r="B34" s="33">
        <v>59</v>
      </c>
      <c r="C34" s="33">
        <v>2</v>
      </c>
      <c r="D34" s="33">
        <v>3</v>
      </c>
      <c r="E34" s="23">
        <f t="shared" si="2"/>
        <v>0.05084745762711865</v>
      </c>
      <c r="F34" s="23">
        <f t="shared" si="0"/>
        <v>0.022080838323353294</v>
      </c>
      <c r="G34" s="24">
        <f t="shared" si="6"/>
        <v>1.7664670658682635</v>
      </c>
      <c r="H34" s="30">
        <f>ROUND(G34,0)</f>
        <v>2</v>
      </c>
      <c r="I34" s="18">
        <f>D34/H34</f>
        <v>1.5</v>
      </c>
      <c r="J34" s="21">
        <f t="shared" si="5"/>
        <v>1</v>
      </c>
      <c r="K34" s="12">
        <v>0</v>
      </c>
      <c r="L34" s="17"/>
    </row>
    <row r="35" spans="1:12" s="37" customFormat="1" ht="33" customHeight="1">
      <c r="A35" s="44" t="s">
        <v>19</v>
      </c>
      <c r="B35" s="75" t="s">
        <v>57</v>
      </c>
      <c r="C35" s="76"/>
      <c r="D35" s="76"/>
      <c r="E35" s="76"/>
      <c r="F35" s="76"/>
      <c r="G35" s="76"/>
      <c r="H35" s="76"/>
      <c r="I35" s="76"/>
      <c r="J35" s="76"/>
      <c r="K35" s="77"/>
      <c r="L35" s="45"/>
    </row>
    <row r="36" spans="1:12" ht="17.25" customHeight="1">
      <c r="A36" s="3" t="s">
        <v>29</v>
      </c>
      <c r="B36" s="33">
        <f>SUM(B4:B34)</f>
        <v>2672</v>
      </c>
      <c r="C36" s="33">
        <f>SUM(C4:C34)</f>
        <v>69.5</v>
      </c>
      <c r="D36" s="33">
        <f>SUM(D4:D34)</f>
        <v>84</v>
      </c>
      <c r="E36" s="4"/>
      <c r="F36" s="4"/>
      <c r="G36" s="46"/>
      <c r="H36" s="5"/>
      <c r="I36" s="20"/>
      <c r="J36" s="14"/>
      <c r="K36" s="47"/>
      <c r="L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2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54"/>
    </row>
    <row r="42" spans="1:7" ht="16.5">
      <c r="A42" s="80" t="s">
        <v>58</v>
      </c>
      <c r="B42" s="80"/>
      <c r="C42" s="80"/>
      <c r="D42" s="80"/>
      <c r="E42" s="80"/>
      <c r="F42" s="80"/>
      <c r="G42" s="80"/>
    </row>
  </sheetData>
  <sheetProtection/>
  <mergeCells count="14">
    <mergeCell ref="K2:K3"/>
    <mergeCell ref="B35:K35"/>
    <mergeCell ref="A41:K41"/>
    <mergeCell ref="A42:G42"/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rintOptions/>
  <pageMargins left="0.5118110236220472" right="0.3937007874015748" top="0.984251968503937" bottom="0.984251968503937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B15" sqref="B15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9.625" style="50" customWidth="1"/>
    <col min="10" max="10" width="9.625" style="51" customWidth="1"/>
    <col min="11" max="12" width="9.625" style="42" customWidth="1"/>
    <col min="13" max="16384" width="9.00390625" style="1" customWidth="1"/>
  </cols>
  <sheetData>
    <row r="1" spans="1:13" ht="21">
      <c r="A1" s="81" t="s">
        <v>89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/>
      <c r="M1" s="39"/>
    </row>
    <row r="2" spans="1:12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23</v>
      </c>
      <c r="H2" s="90" t="s">
        <v>23</v>
      </c>
      <c r="I2" s="92" t="s">
        <v>91</v>
      </c>
      <c r="J2" s="73" t="s">
        <v>90</v>
      </c>
      <c r="K2" s="73" t="s">
        <v>86</v>
      </c>
      <c r="L2" s="41"/>
    </row>
    <row r="3" spans="1:12" s="42" customFormat="1" ht="68.25" customHeight="1">
      <c r="A3" s="82"/>
      <c r="B3" s="84"/>
      <c r="C3" s="84"/>
      <c r="D3" s="86"/>
      <c r="E3" s="87"/>
      <c r="F3" s="89"/>
      <c r="G3" s="15">
        <v>83</v>
      </c>
      <c r="H3" s="91"/>
      <c r="I3" s="93"/>
      <c r="J3" s="74"/>
      <c r="K3" s="74"/>
      <c r="L3" s="43"/>
    </row>
    <row r="4" spans="1:12" s="8" customFormat="1" ht="19.5" customHeight="1">
      <c r="A4" s="3" t="s">
        <v>2</v>
      </c>
      <c r="B4" s="22">
        <f>VLOOKUP(A4,'[9]單位人數分析'!$A$4:$B$46,2,0)-1</f>
        <v>214</v>
      </c>
      <c r="C4" s="22">
        <v>5</v>
      </c>
      <c r="D4" s="22">
        <v>7</v>
      </c>
      <c r="E4" s="23">
        <f>D4/B4</f>
        <v>0.03271028037383177</v>
      </c>
      <c r="F4" s="23">
        <f aca="true" t="shared" si="0" ref="F4:F34">B4/$B$36</f>
        <v>0.07729817590753116</v>
      </c>
      <c r="G4" s="24">
        <f>F4*$G$3</f>
        <v>6.415748600325086</v>
      </c>
      <c r="H4" s="25">
        <f>ROUND(G4,0)</f>
        <v>6</v>
      </c>
      <c r="I4" s="18">
        <f aca="true" t="shared" si="1" ref="I4:I26">D4/H4</f>
        <v>1.1666666666666667</v>
      </c>
      <c r="J4" s="21">
        <f>D4-H4</f>
        <v>1</v>
      </c>
      <c r="K4" s="12">
        <v>1</v>
      </c>
      <c r="L4" s="17"/>
    </row>
    <row r="5" spans="1:12" s="8" customFormat="1" ht="19.5" customHeight="1">
      <c r="A5" s="58" t="s">
        <v>3</v>
      </c>
      <c r="B5" s="59">
        <f>VLOOKUP(A5,'[9]單位人數分析'!$A$4:$B$46,2,0)-3</f>
        <v>649</v>
      </c>
      <c r="C5" s="59">
        <v>15</v>
      </c>
      <c r="D5" s="59">
        <v>16</v>
      </c>
      <c r="E5" s="60">
        <f aca="true" t="shared" si="2" ref="E5:E34">D5/B5</f>
        <v>0.02465331278890601</v>
      </c>
      <c r="F5" s="60">
        <f t="shared" si="0"/>
        <v>0.23442297272891457</v>
      </c>
      <c r="G5" s="61">
        <f aca="true" t="shared" si="3" ref="G5:G23">F5*$G$3</f>
        <v>19.45710673649991</v>
      </c>
      <c r="H5" s="62">
        <f aca="true" t="shared" si="4" ref="H5:H33">ROUND(G5,0)</f>
        <v>19</v>
      </c>
      <c r="I5" s="63">
        <f t="shared" si="1"/>
        <v>0.8421052631578947</v>
      </c>
      <c r="J5" s="64">
        <f aca="true" t="shared" si="5" ref="J5:J34">D5-H5</f>
        <v>-3</v>
      </c>
      <c r="K5" s="65">
        <v>-3</v>
      </c>
      <c r="L5" s="17"/>
    </row>
    <row r="6" spans="1:12" s="36" customFormat="1" ht="19.5" customHeight="1">
      <c r="A6" s="58" t="s">
        <v>4</v>
      </c>
      <c r="B6" s="59">
        <f>VLOOKUP(A6,'[9]單位人數分析'!$A$4:$B$46,2,0)-1.5</f>
        <v>152.5</v>
      </c>
      <c r="C6" s="59">
        <v>4.5</v>
      </c>
      <c r="D6" s="59">
        <v>4.5</v>
      </c>
      <c r="E6" s="60">
        <f t="shared" si="2"/>
        <v>0.029508196721311476</v>
      </c>
      <c r="F6" s="60">
        <f t="shared" si="0"/>
        <v>0.05508398049485281</v>
      </c>
      <c r="G6" s="61">
        <f t="shared" si="3"/>
        <v>4.571970381072783</v>
      </c>
      <c r="H6" s="62">
        <f t="shared" si="4"/>
        <v>5</v>
      </c>
      <c r="I6" s="63">
        <f t="shared" si="1"/>
        <v>0.9</v>
      </c>
      <c r="J6" s="72">
        <f t="shared" si="5"/>
        <v>-0.5</v>
      </c>
      <c r="K6" s="65">
        <v>0.5</v>
      </c>
      <c r="L6" s="17"/>
    </row>
    <row r="7" spans="1:12" s="7" customFormat="1" ht="19.5" customHeight="1">
      <c r="A7" s="3" t="s">
        <v>5</v>
      </c>
      <c r="B7" s="22">
        <f>VLOOKUP(A7,'[9]單位人數分析'!$A$4:$B$46,2,0)-1</f>
        <v>249</v>
      </c>
      <c r="C7" s="22">
        <v>6</v>
      </c>
      <c r="D7" s="22">
        <v>7</v>
      </c>
      <c r="E7" s="23">
        <f t="shared" si="2"/>
        <v>0.028112449799196786</v>
      </c>
      <c r="F7" s="23">
        <f t="shared" si="0"/>
        <v>0.08994040093913672</v>
      </c>
      <c r="G7" s="24">
        <f t="shared" si="3"/>
        <v>7.465053277948347</v>
      </c>
      <c r="H7" s="25">
        <f t="shared" si="4"/>
        <v>7</v>
      </c>
      <c r="I7" s="18">
        <f t="shared" si="1"/>
        <v>1</v>
      </c>
      <c r="J7" s="21">
        <f t="shared" si="5"/>
        <v>0</v>
      </c>
      <c r="K7" s="12">
        <v>0</v>
      </c>
      <c r="L7" s="17"/>
    </row>
    <row r="8" spans="1:12" ht="19.5" customHeight="1">
      <c r="A8" s="3" t="s">
        <v>6</v>
      </c>
      <c r="B8" s="22">
        <f>VLOOKUP(A8,'[9]單位人數分析'!$A$4:$B$46,2,0)</f>
        <v>150</v>
      </c>
      <c r="C8" s="22">
        <v>4</v>
      </c>
      <c r="D8" s="22">
        <v>4</v>
      </c>
      <c r="E8" s="23">
        <f t="shared" si="2"/>
        <v>0.02666666666666667</v>
      </c>
      <c r="F8" s="23">
        <f t="shared" si="0"/>
        <v>0.0541809644211667</v>
      </c>
      <c r="G8" s="24">
        <f>F8*$G$3</f>
        <v>4.497020046956836</v>
      </c>
      <c r="H8" s="25">
        <f t="shared" si="4"/>
        <v>4</v>
      </c>
      <c r="I8" s="18">
        <f t="shared" si="1"/>
        <v>1</v>
      </c>
      <c r="J8" s="12">
        <f t="shared" si="5"/>
        <v>0</v>
      </c>
      <c r="K8" s="12">
        <v>0</v>
      </c>
      <c r="L8" s="17"/>
    </row>
    <row r="9" spans="1:12" ht="19.5" customHeight="1">
      <c r="A9" s="58" t="s">
        <v>7</v>
      </c>
      <c r="B9" s="59">
        <f>VLOOKUP(A9,'[9]單位人數分析'!$A$4:$B$46,2,0)</f>
        <v>164</v>
      </c>
      <c r="C9" s="59">
        <v>3</v>
      </c>
      <c r="D9" s="59">
        <v>3</v>
      </c>
      <c r="E9" s="60">
        <f t="shared" si="2"/>
        <v>0.018292682926829267</v>
      </c>
      <c r="F9" s="60">
        <f t="shared" si="0"/>
        <v>0.05923785443380892</v>
      </c>
      <c r="G9" s="61">
        <f t="shared" si="3"/>
        <v>4.9167419180061405</v>
      </c>
      <c r="H9" s="62">
        <f t="shared" si="4"/>
        <v>5</v>
      </c>
      <c r="I9" s="63">
        <f t="shared" si="1"/>
        <v>0.6</v>
      </c>
      <c r="J9" s="64">
        <f t="shared" si="5"/>
        <v>-2</v>
      </c>
      <c r="K9" s="65">
        <v>-2</v>
      </c>
      <c r="L9" s="17"/>
    </row>
    <row r="10" spans="1:12" ht="19.5" customHeight="1">
      <c r="A10" s="3" t="s">
        <v>26</v>
      </c>
      <c r="B10" s="22">
        <f>VLOOKUP(A10,'[9]單位人數分析'!$A$4:$B$46,2,0)-0.5</f>
        <v>184.5</v>
      </c>
      <c r="C10" s="22">
        <v>4.5</v>
      </c>
      <c r="D10" s="22">
        <v>5.5</v>
      </c>
      <c r="E10" s="23">
        <f t="shared" si="2"/>
        <v>0.02981029810298103</v>
      </c>
      <c r="F10" s="23">
        <f t="shared" si="0"/>
        <v>0.06664258623803504</v>
      </c>
      <c r="G10" s="24">
        <f>F10*$G$3</f>
        <v>5.531334657756909</v>
      </c>
      <c r="H10" s="25">
        <f t="shared" si="4"/>
        <v>6</v>
      </c>
      <c r="I10" s="18">
        <f t="shared" si="1"/>
        <v>0.9166666666666666</v>
      </c>
      <c r="J10" s="21">
        <f t="shared" si="5"/>
        <v>-0.5</v>
      </c>
      <c r="K10" s="12">
        <v>0</v>
      </c>
      <c r="L10" s="17"/>
    </row>
    <row r="11" spans="1:12" s="6" customFormat="1" ht="19.5" customHeight="1">
      <c r="A11" s="58" t="s">
        <v>28</v>
      </c>
      <c r="B11" s="59">
        <f>VLOOKUP(A11,'[9]單位人數分析'!$A$4:$B$46,2,0)</f>
        <v>69</v>
      </c>
      <c r="C11" s="59">
        <v>1</v>
      </c>
      <c r="D11" s="59">
        <v>1</v>
      </c>
      <c r="E11" s="60">
        <f t="shared" si="2"/>
        <v>0.014492753623188406</v>
      </c>
      <c r="F11" s="60">
        <f t="shared" si="0"/>
        <v>0.02492324363373668</v>
      </c>
      <c r="G11" s="61">
        <f t="shared" si="3"/>
        <v>2.0686292216001445</v>
      </c>
      <c r="H11" s="62">
        <f t="shared" si="4"/>
        <v>2</v>
      </c>
      <c r="I11" s="63">
        <f t="shared" si="1"/>
        <v>0.5</v>
      </c>
      <c r="J11" s="64">
        <f t="shared" si="5"/>
        <v>-1</v>
      </c>
      <c r="K11" s="65">
        <v>-1</v>
      </c>
      <c r="L11" s="17"/>
    </row>
    <row r="12" spans="1:12" s="6" customFormat="1" ht="19.5" customHeight="1">
      <c r="A12" s="3" t="s">
        <v>34</v>
      </c>
      <c r="B12" s="22">
        <f>VLOOKUP(A12,'[9]單位人數分析'!$A$4:$B$46,2,0)-0.5</f>
        <v>94.5</v>
      </c>
      <c r="C12" s="22">
        <v>3.5</v>
      </c>
      <c r="D12" s="22">
        <v>4.5</v>
      </c>
      <c r="E12" s="23">
        <f t="shared" si="2"/>
        <v>0.047619047619047616</v>
      </c>
      <c r="F12" s="23">
        <f t="shared" si="0"/>
        <v>0.03413400758533502</v>
      </c>
      <c r="G12" s="24">
        <f>F12*$G$3</f>
        <v>2.8331226295828063</v>
      </c>
      <c r="H12" s="25">
        <f t="shared" si="4"/>
        <v>3</v>
      </c>
      <c r="I12" s="18">
        <f t="shared" si="1"/>
        <v>1.5</v>
      </c>
      <c r="J12" s="12">
        <f t="shared" si="5"/>
        <v>1.5</v>
      </c>
      <c r="K12" s="12">
        <v>1</v>
      </c>
      <c r="L12" s="17"/>
    </row>
    <row r="13" spans="1:12" s="36" customFormat="1" ht="19.5" customHeight="1">
      <c r="A13" s="3" t="s">
        <v>8</v>
      </c>
      <c r="B13" s="22">
        <f>VLOOKUP(A13,'[9]單位人數分析'!$A$4:$B$46,2,0)</f>
        <v>29</v>
      </c>
      <c r="C13" s="22">
        <v>1</v>
      </c>
      <c r="D13" s="22">
        <v>1</v>
      </c>
      <c r="E13" s="23">
        <f t="shared" si="2"/>
        <v>0.034482758620689655</v>
      </c>
      <c r="F13" s="23">
        <f t="shared" si="0"/>
        <v>0.010474986454758894</v>
      </c>
      <c r="G13" s="24">
        <f t="shared" si="3"/>
        <v>0.8694238757449883</v>
      </c>
      <c r="H13" s="25">
        <f t="shared" si="4"/>
        <v>1</v>
      </c>
      <c r="I13" s="18">
        <f t="shared" si="1"/>
        <v>1</v>
      </c>
      <c r="J13" s="21">
        <f t="shared" si="5"/>
        <v>0</v>
      </c>
      <c r="K13" s="12">
        <v>0</v>
      </c>
      <c r="L13" s="17"/>
    </row>
    <row r="14" spans="1:12" ht="19.5" customHeight="1">
      <c r="A14" s="9" t="s">
        <v>36</v>
      </c>
      <c r="B14" s="22">
        <f>VLOOKUP(A14,'[9]單位人數分析'!$A$4:$B$46,2,0)</f>
        <v>4</v>
      </c>
      <c r="C14" s="22">
        <v>0</v>
      </c>
      <c r="D14" s="22">
        <v>0</v>
      </c>
      <c r="E14" s="23">
        <f t="shared" si="2"/>
        <v>0</v>
      </c>
      <c r="F14" s="23">
        <f t="shared" si="0"/>
        <v>0.0014448257178977786</v>
      </c>
      <c r="G14" s="24">
        <f t="shared" si="3"/>
        <v>0.11992053458551563</v>
      </c>
      <c r="H14" s="30">
        <f t="shared" si="4"/>
        <v>0</v>
      </c>
      <c r="I14" s="18" t="s">
        <v>43</v>
      </c>
      <c r="J14" s="12">
        <f t="shared" si="5"/>
        <v>0</v>
      </c>
      <c r="K14" s="12">
        <v>0</v>
      </c>
      <c r="L14" s="17"/>
    </row>
    <row r="15" spans="1:12" s="37" customFormat="1" ht="19.5" customHeight="1">
      <c r="A15" s="58" t="s">
        <v>9</v>
      </c>
      <c r="B15" s="59">
        <f>VLOOKUP(A15,'[9]單位人數分析'!$A$4:$B$46,2,0)-0.5</f>
        <v>104.5</v>
      </c>
      <c r="C15" s="59">
        <v>2.5</v>
      </c>
      <c r="D15" s="59">
        <v>2.5</v>
      </c>
      <c r="E15" s="60">
        <f t="shared" si="2"/>
        <v>0.023923444976076555</v>
      </c>
      <c r="F15" s="60">
        <f t="shared" si="0"/>
        <v>0.03774607188007947</v>
      </c>
      <c r="G15" s="61">
        <f t="shared" si="3"/>
        <v>3.132923966046596</v>
      </c>
      <c r="H15" s="66">
        <f t="shared" si="4"/>
        <v>3</v>
      </c>
      <c r="I15" s="63">
        <f t="shared" si="1"/>
        <v>0.8333333333333334</v>
      </c>
      <c r="J15" s="64">
        <f t="shared" si="5"/>
        <v>-0.5</v>
      </c>
      <c r="K15" s="65">
        <v>-0.5</v>
      </c>
      <c r="L15" s="17"/>
    </row>
    <row r="16" spans="1:12" ht="19.5" customHeight="1">
      <c r="A16" s="3" t="s">
        <v>42</v>
      </c>
      <c r="B16" s="22">
        <f>VLOOKUP(A16,'[9]單位人數分析'!$A$4:$B$46,2,0)</f>
        <v>97</v>
      </c>
      <c r="C16" s="22">
        <v>4</v>
      </c>
      <c r="D16" s="22">
        <v>5</v>
      </c>
      <c r="E16" s="23">
        <f t="shared" si="2"/>
        <v>0.05154639175257732</v>
      </c>
      <c r="F16" s="23">
        <f t="shared" si="0"/>
        <v>0.03503702365902113</v>
      </c>
      <c r="G16" s="24">
        <f>F16*$G$3</f>
        <v>2.908072963698754</v>
      </c>
      <c r="H16" s="30">
        <f t="shared" si="4"/>
        <v>3</v>
      </c>
      <c r="I16" s="18">
        <f t="shared" si="1"/>
        <v>1.6666666666666667</v>
      </c>
      <c r="J16" s="12">
        <f t="shared" si="5"/>
        <v>2</v>
      </c>
      <c r="K16" s="12">
        <v>3</v>
      </c>
      <c r="L16" s="17"/>
    </row>
    <row r="17" spans="1:12" ht="19.5" customHeight="1">
      <c r="A17" s="3" t="s">
        <v>10</v>
      </c>
      <c r="B17" s="22">
        <f>VLOOKUP(A17,'[9]單位人數分析'!$A$4:$B$46,2,0)</f>
        <v>54</v>
      </c>
      <c r="C17" s="22">
        <v>2</v>
      </c>
      <c r="D17" s="22">
        <v>4</v>
      </c>
      <c r="E17" s="23">
        <f t="shared" si="2"/>
        <v>0.07407407407407407</v>
      </c>
      <c r="F17" s="23">
        <f t="shared" si="0"/>
        <v>0.019505147191620012</v>
      </c>
      <c r="G17" s="24">
        <f t="shared" si="3"/>
        <v>1.618927216904461</v>
      </c>
      <c r="H17" s="30">
        <f t="shared" si="4"/>
        <v>2</v>
      </c>
      <c r="I17" s="18">
        <f t="shared" si="1"/>
        <v>2</v>
      </c>
      <c r="J17" s="12">
        <f t="shared" si="5"/>
        <v>2</v>
      </c>
      <c r="K17" s="12">
        <v>2</v>
      </c>
      <c r="L17" s="17"/>
    </row>
    <row r="18" spans="1:12" s="37" customFormat="1" ht="19.5" customHeight="1">
      <c r="A18" s="3" t="s">
        <v>11</v>
      </c>
      <c r="B18" s="22">
        <f>VLOOKUP(A18,'[9]單位人數分析'!$A$4:$B$46,2,0)</f>
        <v>44</v>
      </c>
      <c r="C18" s="22">
        <v>1</v>
      </c>
      <c r="D18" s="22">
        <v>2</v>
      </c>
      <c r="E18" s="23">
        <f t="shared" si="2"/>
        <v>0.045454545454545456</v>
      </c>
      <c r="F18" s="23">
        <f t="shared" si="0"/>
        <v>0.015893082896875563</v>
      </c>
      <c r="G18" s="24">
        <f t="shared" si="3"/>
        <v>1.3191258804406718</v>
      </c>
      <c r="H18" s="30">
        <f t="shared" si="4"/>
        <v>1</v>
      </c>
      <c r="I18" s="18">
        <f t="shared" si="1"/>
        <v>2</v>
      </c>
      <c r="J18" s="12">
        <f t="shared" si="5"/>
        <v>1</v>
      </c>
      <c r="K18" s="12">
        <v>1</v>
      </c>
      <c r="L18" s="17"/>
    </row>
    <row r="19" spans="1:12" ht="19.5" customHeight="1">
      <c r="A19" s="58" t="s">
        <v>12</v>
      </c>
      <c r="B19" s="59">
        <f>VLOOKUP(A19,'[9]單位人數分析'!$A$4:$B$46,2,0)</f>
        <v>21</v>
      </c>
      <c r="C19" s="59">
        <v>0</v>
      </c>
      <c r="D19" s="59">
        <v>0</v>
      </c>
      <c r="E19" s="60">
        <f t="shared" si="2"/>
        <v>0</v>
      </c>
      <c r="F19" s="60">
        <f t="shared" si="0"/>
        <v>0.007585335018963337</v>
      </c>
      <c r="G19" s="61">
        <f t="shared" si="3"/>
        <v>0.629582806573957</v>
      </c>
      <c r="H19" s="66">
        <f t="shared" si="4"/>
        <v>1</v>
      </c>
      <c r="I19" s="63">
        <f t="shared" si="1"/>
        <v>0</v>
      </c>
      <c r="J19" s="64">
        <f t="shared" si="5"/>
        <v>-1</v>
      </c>
      <c r="K19" s="65">
        <v>-1</v>
      </c>
      <c r="L19" s="17"/>
    </row>
    <row r="20" spans="1:12" ht="18.75" customHeight="1">
      <c r="A20" s="3" t="s">
        <v>32</v>
      </c>
      <c r="B20" s="22">
        <f>VLOOKUP(A20,'[9]單位人數分析'!$A$4:$B$46,2,0)</f>
        <v>26</v>
      </c>
      <c r="C20" s="22">
        <v>1</v>
      </c>
      <c r="D20" s="22">
        <v>1</v>
      </c>
      <c r="E20" s="23">
        <f t="shared" si="2"/>
        <v>0.038461538461538464</v>
      </c>
      <c r="F20" s="23">
        <f t="shared" si="0"/>
        <v>0.009391367166335561</v>
      </c>
      <c r="G20" s="24">
        <f>F20*$G$3</f>
        <v>0.7794834748058516</v>
      </c>
      <c r="H20" s="30">
        <f t="shared" si="4"/>
        <v>1</v>
      </c>
      <c r="I20" s="18">
        <f t="shared" si="1"/>
        <v>1</v>
      </c>
      <c r="J20" s="12">
        <f t="shared" si="5"/>
        <v>0</v>
      </c>
      <c r="K20" s="12">
        <v>0</v>
      </c>
      <c r="L20" s="17"/>
    </row>
    <row r="21" spans="1:12" ht="19.5" customHeight="1">
      <c r="A21" s="3" t="s">
        <v>13</v>
      </c>
      <c r="B21" s="22">
        <f>VLOOKUP(A21,'[9]單位人數分析'!$A$4:$B$46,2,0)</f>
        <v>40</v>
      </c>
      <c r="C21" s="22">
        <v>2</v>
      </c>
      <c r="D21" s="22">
        <v>3</v>
      </c>
      <c r="E21" s="23">
        <f t="shared" si="2"/>
        <v>0.075</v>
      </c>
      <c r="F21" s="23">
        <f t="shared" si="0"/>
        <v>0.014448257178977787</v>
      </c>
      <c r="G21" s="24">
        <f t="shared" si="3"/>
        <v>1.1992053458551564</v>
      </c>
      <c r="H21" s="30">
        <f t="shared" si="4"/>
        <v>1</v>
      </c>
      <c r="I21" s="18">
        <f t="shared" si="1"/>
        <v>3</v>
      </c>
      <c r="J21" s="12">
        <f t="shared" si="5"/>
        <v>2</v>
      </c>
      <c r="K21" s="12">
        <v>2</v>
      </c>
      <c r="L21" s="17"/>
    </row>
    <row r="22" spans="1:12" s="8" customFormat="1" ht="19.5" customHeight="1">
      <c r="A22" s="58" t="s">
        <v>14</v>
      </c>
      <c r="B22" s="59">
        <f>VLOOKUP(A22,'[9]單位人數分析'!$A$4:$B$46,2,0)-0.5</f>
        <v>21.5</v>
      </c>
      <c r="C22" s="59">
        <v>0.5</v>
      </c>
      <c r="D22" s="59">
        <v>0.5</v>
      </c>
      <c r="E22" s="60">
        <f t="shared" si="2"/>
        <v>0.023255813953488372</v>
      </c>
      <c r="F22" s="60">
        <f t="shared" si="0"/>
        <v>0.00776593823370056</v>
      </c>
      <c r="G22" s="61">
        <f>F22*$G$3</f>
        <v>0.6445728733971464</v>
      </c>
      <c r="H22" s="66">
        <f t="shared" si="4"/>
        <v>1</v>
      </c>
      <c r="I22" s="63">
        <f t="shared" si="1"/>
        <v>0.5</v>
      </c>
      <c r="J22" s="64">
        <f t="shared" si="5"/>
        <v>-0.5</v>
      </c>
      <c r="K22" s="65">
        <v>-0.5</v>
      </c>
      <c r="L22" s="17"/>
    </row>
    <row r="23" spans="1:12" ht="19.5" customHeight="1">
      <c r="A23" s="3" t="s">
        <v>15</v>
      </c>
      <c r="B23" s="22">
        <f>VLOOKUP(A23,'[9]單位人數分析'!$A$4:$B$46,2,0)</f>
        <v>24</v>
      </c>
      <c r="C23" s="22">
        <v>2</v>
      </c>
      <c r="D23" s="22">
        <v>3</v>
      </c>
      <c r="E23" s="23">
        <f t="shared" si="2"/>
        <v>0.125</v>
      </c>
      <c r="F23" s="23">
        <f t="shared" si="0"/>
        <v>0.008668954307386671</v>
      </c>
      <c r="G23" s="24">
        <f t="shared" si="3"/>
        <v>0.7195232075130937</v>
      </c>
      <c r="H23" s="30">
        <f t="shared" si="4"/>
        <v>1</v>
      </c>
      <c r="I23" s="18">
        <f t="shared" si="1"/>
        <v>3</v>
      </c>
      <c r="J23" s="12">
        <f t="shared" si="5"/>
        <v>2</v>
      </c>
      <c r="K23" s="12">
        <v>2</v>
      </c>
      <c r="L23" s="17"/>
    </row>
    <row r="24" spans="1:12" ht="19.5" customHeight="1">
      <c r="A24" s="3" t="s">
        <v>16</v>
      </c>
      <c r="B24" s="22">
        <f>VLOOKUP(A24,'[9]單位人數分析'!$A$4:$B$46,2,0)</f>
        <v>28</v>
      </c>
      <c r="C24" s="22">
        <v>5</v>
      </c>
      <c r="D24" s="22">
        <v>7</v>
      </c>
      <c r="E24" s="23">
        <f t="shared" si="2"/>
        <v>0.25</v>
      </c>
      <c r="F24" s="23">
        <f t="shared" si="0"/>
        <v>0.010113780025284451</v>
      </c>
      <c r="G24" s="24">
        <f>F24*$G$3</f>
        <v>0.8394437420986094</v>
      </c>
      <c r="H24" s="30">
        <f t="shared" si="4"/>
        <v>1</v>
      </c>
      <c r="I24" s="18">
        <f t="shared" si="1"/>
        <v>7</v>
      </c>
      <c r="J24" s="12">
        <f t="shared" si="5"/>
        <v>6</v>
      </c>
      <c r="K24" s="12">
        <v>6</v>
      </c>
      <c r="L24" s="17"/>
    </row>
    <row r="25" spans="1:12" s="7" customFormat="1" ht="19.5" customHeight="1">
      <c r="A25" s="58" t="s">
        <v>25</v>
      </c>
      <c r="B25" s="59">
        <f>VLOOKUP(A25,'[9]單位人數分析'!$A$4:$B$46,2,0)</f>
        <v>32</v>
      </c>
      <c r="C25" s="59">
        <v>0</v>
      </c>
      <c r="D25" s="59">
        <v>0</v>
      </c>
      <c r="E25" s="60">
        <f t="shared" si="2"/>
        <v>0</v>
      </c>
      <c r="F25" s="60">
        <f t="shared" si="0"/>
        <v>0.011558605743182229</v>
      </c>
      <c r="G25" s="61">
        <f>F25*$G$3</f>
        <v>0.959364276684125</v>
      </c>
      <c r="H25" s="62">
        <f t="shared" si="4"/>
        <v>1</v>
      </c>
      <c r="I25" s="63">
        <f t="shared" si="1"/>
        <v>0</v>
      </c>
      <c r="J25" s="64">
        <f t="shared" si="5"/>
        <v>-1</v>
      </c>
      <c r="K25" s="65">
        <v>-1</v>
      </c>
      <c r="L25" s="17"/>
    </row>
    <row r="26" spans="1:12" ht="19.5" customHeight="1">
      <c r="A26" s="67" t="s">
        <v>47</v>
      </c>
      <c r="B26" s="59">
        <f>VLOOKUP(A26,'[9]單位人數分析'!$A$4:$B$46,2,0)</f>
        <v>37</v>
      </c>
      <c r="C26" s="59">
        <v>0</v>
      </c>
      <c r="D26" s="59">
        <v>0</v>
      </c>
      <c r="E26" s="60">
        <f t="shared" si="2"/>
        <v>0</v>
      </c>
      <c r="F26" s="60">
        <f t="shared" si="0"/>
        <v>0.013364637890554452</v>
      </c>
      <c r="G26" s="61">
        <f aca="true" t="shared" si="6" ref="G26:G34">F26*$G$3</f>
        <v>1.1092649449160195</v>
      </c>
      <c r="H26" s="66">
        <f t="shared" si="4"/>
        <v>1</v>
      </c>
      <c r="I26" s="63">
        <f t="shared" si="1"/>
        <v>0</v>
      </c>
      <c r="J26" s="64">
        <f t="shared" si="5"/>
        <v>-1</v>
      </c>
      <c r="K26" s="65">
        <v>-1</v>
      </c>
      <c r="L26" s="17"/>
    </row>
    <row r="27" spans="1:12" ht="19.5" customHeight="1">
      <c r="A27" s="3" t="s">
        <v>17</v>
      </c>
      <c r="B27" s="22">
        <f>VLOOKUP(A27,'[9]單位人數分析'!$A$4:$B$46,2,0)</f>
        <v>3</v>
      </c>
      <c r="C27" s="22">
        <v>0</v>
      </c>
      <c r="D27" s="22">
        <v>0</v>
      </c>
      <c r="E27" s="23">
        <f t="shared" si="2"/>
        <v>0</v>
      </c>
      <c r="F27" s="23">
        <f t="shared" si="0"/>
        <v>0.001083619288423334</v>
      </c>
      <c r="G27" s="24">
        <f t="shared" si="6"/>
        <v>0.08994040093913672</v>
      </c>
      <c r="H27" s="30">
        <f t="shared" si="4"/>
        <v>0</v>
      </c>
      <c r="I27" s="18" t="s">
        <v>43</v>
      </c>
      <c r="J27" s="12">
        <f t="shared" si="5"/>
        <v>0</v>
      </c>
      <c r="K27" s="12">
        <v>0</v>
      </c>
      <c r="L27" s="17"/>
    </row>
    <row r="28" spans="1:12" ht="19.5" customHeight="1">
      <c r="A28" s="3" t="s">
        <v>18</v>
      </c>
      <c r="B28" s="22">
        <f>VLOOKUP(A28,'[9]單位人數分析'!$A$4:$B$46,2,0)</f>
        <v>1</v>
      </c>
      <c r="C28" s="22">
        <v>0</v>
      </c>
      <c r="D28" s="22">
        <v>0</v>
      </c>
      <c r="E28" s="23">
        <f t="shared" si="2"/>
        <v>0</v>
      </c>
      <c r="F28" s="23">
        <f t="shared" si="0"/>
        <v>0.00036120642947444465</v>
      </c>
      <c r="G28" s="24">
        <f t="shared" si="6"/>
        <v>0.029980133646378908</v>
      </c>
      <c r="H28" s="30">
        <f t="shared" si="4"/>
        <v>0</v>
      </c>
      <c r="I28" s="18" t="s">
        <v>43</v>
      </c>
      <c r="J28" s="12">
        <f t="shared" si="5"/>
        <v>0</v>
      </c>
      <c r="K28" s="12">
        <v>0</v>
      </c>
      <c r="L28" s="17"/>
    </row>
    <row r="29" spans="1:12" ht="19.5" customHeight="1">
      <c r="A29" s="34" t="s">
        <v>48</v>
      </c>
      <c r="B29" s="22">
        <f>VLOOKUP(A29,'[9]單位人數分析'!$A$4:$B$46,2,0)</f>
        <v>16</v>
      </c>
      <c r="C29" s="22">
        <v>0</v>
      </c>
      <c r="D29" s="22">
        <v>0</v>
      </c>
      <c r="E29" s="23">
        <f t="shared" si="2"/>
        <v>0</v>
      </c>
      <c r="F29" s="23">
        <f t="shared" si="0"/>
        <v>0.0057793028715911144</v>
      </c>
      <c r="G29" s="24">
        <f>F29*$G$3</f>
        <v>0.4796821383420625</v>
      </c>
      <c r="H29" s="30">
        <f t="shared" si="4"/>
        <v>0</v>
      </c>
      <c r="I29" s="18" t="s">
        <v>43</v>
      </c>
      <c r="J29" s="12">
        <f t="shared" si="5"/>
        <v>0</v>
      </c>
      <c r="K29" s="12">
        <v>0</v>
      </c>
      <c r="L29" s="17"/>
    </row>
    <row r="30" spans="1:12" ht="16.5">
      <c r="A30" s="9" t="s">
        <v>38</v>
      </c>
      <c r="B30" s="22">
        <f>VLOOKUP(A30,'[9]單位人數分析'!$A$4:$B$46,2,0)</f>
        <v>5</v>
      </c>
      <c r="C30" s="22">
        <v>0</v>
      </c>
      <c r="D30" s="22">
        <v>0</v>
      </c>
      <c r="E30" s="23">
        <f t="shared" si="2"/>
        <v>0</v>
      </c>
      <c r="F30" s="23">
        <f t="shared" si="0"/>
        <v>0.0018060321473722233</v>
      </c>
      <c r="G30" s="24">
        <f t="shared" si="6"/>
        <v>0.14990066823189455</v>
      </c>
      <c r="H30" s="30">
        <f t="shared" si="4"/>
        <v>0</v>
      </c>
      <c r="I30" s="18" t="s">
        <v>43</v>
      </c>
      <c r="J30" s="12">
        <f t="shared" si="5"/>
        <v>0</v>
      </c>
      <c r="K30" s="12">
        <v>0</v>
      </c>
      <c r="L30" s="17"/>
    </row>
    <row r="31" spans="1:12" s="8" customFormat="1" ht="16.5">
      <c r="A31" s="58" t="s">
        <v>33</v>
      </c>
      <c r="B31" s="59">
        <f>VLOOKUP(A31,'[9]單位人數分析'!$A$4:$B$46,2,0)</f>
        <v>20</v>
      </c>
      <c r="C31" s="59">
        <v>0</v>
      </c>
      <c r="D31" s="59">
        <v>0</v>
      </c>
      <c r="E31" s="60">
        <f t="shared" si="2"/>
        <v>0</v>
      </c>
      <c r="F31" s="60">
        <f t="shared" si="0"/>
        <v>0.007224128589488893</v>
      </c>
      <c r="G31" s="61">
        <f>F31*$G$3</f>
        <v>0.5996026729275782</v>
      </c>
      <c r="H31" s="66">
        <f t="shared" si="4"/>
        <v>1</v>
      </c>
      <c r="I31" s="63">
        <f>D31/H31</f>
        <v>0</v>
      </c>
      <c r="J31" s="64">
        <f t="shared" si="5"/>
        <v>-1</v>
      </c>
      <c r="K31" s="65">
        <v>-1</v>
      </c>
      <c r="L31" s="17"/>
    </row>
    <row r="32" spans="1:12" s="8" customFormat="1" ht="16.5">
      <c r="A32" s="3" t="s">
        <v>37</v>
      </c>
      <c r="B32" s="22">
        <f>VLOOKUP(A32,'[9]單位人數分析'!$A$4:$B$46,2,0)</f>
        <v>27</v>
      </c>
      <c r="C32" s="33">
        <v>1</v>
      </c>
      <c r="D32" s="33">
        <v>1</v>
      </c>
      <c r="E32" s="69">
        <f t="shared" si="2"/>
        <v>0.037037037037037035</v>
      </c>
      <c r="F32" s="69">
        <f t="shared" si="0"/>
        <v>0.009752573595810006</v>
      </c>
      <c r="G32" s="70">
        <f t="shared" si="6"/>
        <v>0.8094636084522305</v>
      </c>
      <c r="H32" s="30">
        <f t="shared" si="4"/>
        <v>1</v>
      </c>
      <c r="I32" s="71">
        <f>D32/H32</f>
        <v>1</v>
      </c>
      <c r="J32" s="21">
        <f t="shared" si="5"/>
        <v>0</v>
      </c>
      <c r="K32" s="12">
        <v>0</v>
      </c>
      <c r="L32" s="17"/>
    </row>
    <row r="33" spans="1:12" ht="16.5">
      <c r="A33" s="58" t="s">
        <v>40</v>
      </c>
      <c r="B33" s="59">
        <f>VLOOKUP(A33,'[9]單位人數分析'!$A$4:$B$46,2,0)</f>
        <v>138</v>
      </c>
      <c r="C33" s="68">
        <v>2</v>
      </c>
      <c r="D33" s="68">
        <v>2</v>
      </c>
      <c r="E33" s="60">
        <f t="shared" si="2"/>
        <v>0.014492753623188406</v>
      </c>
      <c r="F33" s="60">
        <f t="shared" si="0"/>
        <v>0.04984648726747336</v>
      </c>
      <c r="G33" s="61">
        <f>F33*$G$3</f>
        <v>4.137258443200289</v>
      </c>
      <c r="H33" s="66">
        <f t="shared" si="4"/>
        <v>4</v>
      </c>
      <c r="I33" s="63">
        <f>D33/H33</f>
        <v>0.5</v>
      </c>
      <c r="J33" s="64">
        <f t="shared" si="5"/>
        <v>-2</v>
      </c>
      <c r="K33" s="65">
        <v>-2</v>
      </c>
      <c r="L33" s="17"/>
    </row>
    <row r="34" spans="1:12" ht="16.5">
      <c r="A34" s="3" t="s">
        <v>39</v>
      </c>
      <c r="B34" s="22">
        <v>70</v>
      </c>
      <c r="C34" s="33">
        <v>2</v>
      </c>
      <c r="D34" s="33">
        <v>4</v>
      </c>
      <c r="E34" s="23">
        <f t="shared" si="2"/>
        <v>0.05714285714285714</v>
      </c>
      <c r="F34" s="23">
        <f t="shared" si="0"/>
        <v>0.025284450063211124</v>
      </c>
      <c r="G34" s="24">
        <f t="shared" si="6"/>
        <v>2.0986093552465235</v>
      </c>
      <c r="H34" s="30">
        <f>ROUND(G34,0)</f>
        <v>2</v>
      </c>
      <c r="I34" s="18">
        <f>D34/H34</f>
        <v>2</v>
      </c>
      <c r="J34" s="21">
        <f t="shared" si="5"/>
        <v>2</v>
      </c>
      <c r="K34" s="12">
        <v>2</v>
      </c>
      <c r="L34" s="17"/>
    </row>
    <row r="35" spans="1:12" s="37" customFormat="1" ht="33" customHeight="1">
      <c r="A35" s="44" t="s">
        <v>19</v>
      </c>
      <c r="B35" s="75" t="s">
        <v>94</v>
      </c>
      <c r="C35" s="76"/>
      <c r="D35" s="76"/>
      <c r="E35" s="76"/>
      <c r="F35" s="76"/>
      <c r="G35" s="76"/>
      <c r="H35" s="76"/>
      <c r="I35" s="76"/>
      <c r="J35" s="76"/>
      <c r="K35" s="77"/>
      <c r="L35" s="45"/>
    </row>
    <row r="36" spans="1:12" ht="17.25" customHeight="1">
      <c r="A36" s="3" t="s">
        <v>29</v>
      </c>
      <c r="B36" s="33">
        <f>SUM(B4:B34)</f>
        <v>2768.5</v>
      </c>
      <c r="C36" s="33">
        <f>SUM(C4:C34)</f>
        <v>72.5</v>
      </c>
      <c r="D36" s="33">
        <f>SUM(D4:D34)</f>
        <v>88.5</v>
      </c>
      <c r="E36" s="4"/>
      <c r="F36" s="4"/>
      <c r="G36" s="46"/>
      <c r="H36" s="5"/>
      <c r="I36" s="20"/>
      <c r="J36" s="14"/>
      <c r="K36" s="47"/>
      <c r="L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2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54"/>
    </row>
    <row r="42" spans="1:7" ht="16.5">
      <c r="A42" s="80" t="s">
        <v>92</v>
      </c>
      <c r="B42" s="80"/>
      <c r="C42" s="80"/>
      <c r="D42" s="80"/>
      <c r="E42" s="80"/>
      <c r="F42" s="80"/>
      <c r="G42" s="80"/>
    </row>
  </sheetData>
  <sheetProtection/>
  <mergeCells count="14">
    <mergeCell ref="A41:K41"/>
    <mergeCell ref="A42:G42"/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K2:K3"/>
    <mergeCell ref="B35:K35"/>
  </mergeCells>
  <printOptions/>
  <pageMargins left="0.5118110236220472" right="0.3937007874015748" top="0.984251968503937" bottom="0.984251968503937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9.625" style="50" customWidth="1"/>
    <col min="10" max="10" width="9.625" style="51" customWidth="1"/>
    <col min="11" max="12" width="9.625" style="42" customWidth="1"/>
    <col min="13" max="16384" width="9.00390625" style="1" customWidth="1"/>
  </cols>
  <sheetData>
    <row r="1" spans="1:13" ht="21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/>
      <c r="M1" s="39"/>
    </row>
    <row r="2" spans="1:12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23</v>
      </c>
      <c r="H2" s="90" t="s">
        <v>23</v>
      </c>
      <c r="I2" s="92" t="s">
        <v>87</v>
      </c>
      <c r="J2" s="73" t="s">
        <v>86</v>
      </c>
      <c r="K2" s="73" t="s">
        <v>82</v>
      </c>
      <c r="L2" s="41"/>
    </row>
    <row r="3" spans="1:12" s="42" customFormat="1" ht="68.25" customHeight="1">
      <c r="A3" s="82"/>
      <c r="B3" s="84"/>
      <c r="C3" s="84"/>
      <c r="D3" s="86"/>
      <c r="E3" s="87"/>
      <c r="F3" s="89"/>
      <c r="G3" s="15">
        <v>80</v>
      </c>
      <c r="H3" s="91"/>
      <c r="I3" s="93"/>
      <c r="J3" s="74"/>
      <c r="K3" s="74"/>
      <c r="L3" s="43"/>
    </row>
    <row r="4" spans="1:12" s="8" customFormat="1" ht="19.5" customHeight="1">
      <c r="A4" s="3" t="s">
        <v>2</v>
      </c>
      <c r="B4" s="22">
        <f>VLOOKUP(A4,'[8]各單位人數分析'!$A:$B,2,0)-1</f>
        <v>205</v>
      </c>
      <c r="C4" s="22">
        <v>5</v>
      </c>
      <c r="D4" s="22">
        <v>7</v>
      </c>
      <c r="E4" s="23">
        <f>D4/B4</f>
        <v>0.03414634146341464</v>
      </c>
      <c r="F4" s="23">
        <f aca="true" t="shared" si="0" ref="F4:F34">B4/$B$36</f>
        <v>0.07679340700505713</v>
      </c>
      <c r="G4" s="24">
        <f>F4*$G$3</f>
        <v>6.14347256040457</v>
      </c>
      <c r="H4" s="25">
        <f>ROUND(G4,0)</f>
        <v>6</v>
      </c>
      <c r="I4" s="18">
        <f aca="true" t="shared" si="1" ref="I4:I26">D4/H4</f>
        <v>1.1666666666666667</v>
      </c>
      <c r="J4" s="21">
        <f>D4-H4</f>
        <v>1</v>
      </c>
      <c r="K4" s="12">
        <v>1</v>
      </c>
      <c r="L4" s="17"/>
    </row>
    <row r="5" spans="1:12" s="8" customFormat="1" ht="19.5" customHeight="1">
      <c r="A5" s="58" t="s">
        <v>3</v>
      </c>
      <c r="B5" s="59">
        <f>VLOOKUP(A5,'[8]各單位人數分析'!$A:$B,2,0)-2</f>
        <v>637</v>
      </c>
      <c r="C5" s="59">
        <v>15</v>
      </c>
      <c r="D5" s="59">
        <v>16</v>
      </c>
      <c r="E5" s="60">
        <f aca="true" t="shared" si="2" ref="E5:E34">D5/B5</f>
        <v>0.02511773940345369</v>
      </c>
      <c r="F5" s="60">
        <f t="shared" si="0"/>
        <v>0.23862146469376289</v>
      </c>
      <c r="G5" s="61">
        <f aca="true" t="shared" si="3" ref="G5:G23">F5*$G$3</f>
        <v>19.08971717550103</v>
      </c>
      <c r="H5" s="62">
        <f aca="true" t="shared" si="4" ref="H5:H33">ROUND(G5,0)</f>
        <v>19</v>
      </c>
      <c r="I5" s="63">
        <f t="shared" si="1"/>
        <v>0.8421052631578947</v>
      </c>
      <c r="J5" s="64">
        <f aca="true" t="shared" si="5" ref="J5:J34">D5-H5</f>
        <v>-3</v>
      </c>
      <c r="K5" s="65">
        <v>-1.5</v>
      </c>
      <c r="L5" s="17"/>
    </row>
    <row r="6" spans="1:12" s="36" customFormat="1" ht="19.5" customHeight="1">
      <c r="A6" s="3" t="s">
        <v>4</v>
      </c>
      <c r="B6" s="22">
        <f>VLOOKUP(A6,'[8]各單位人數分析'!$A:$B,2,0)-1.5</f>
        <v>147.5</v>
      </c>
      <c r="C6" s="22">
        <v>4.5</v>
      </c>
      <c r="D6" s="22">
        <v>4.5</v>
      </c>
      <c r="E6" s="23">
        <f t="shared" si="2"/>
        <v>0.030508474576271188</v>
      </c>
      <c r="F6" s="23">
        <f t="shared" si="0"/>
        <v>0.05525379284510208</v>
      </c>
      <c r="G6" s="24">
        <f t="shared" si="3"/>
        <v>4.420303427608166</v>
      </c>
      <c r="H6" s="25">
        <f t="shared" si="4"/>
        <v>4</v>
      </c>
      <c r="I6" s="18">
        <f t="shared" si="1"/>
        <v>1.125</v>
      </c>
      <c r="J6" s="21">
        <f t="shared" si="5"/>
        <v>0.5</v>
      </c>
      <c r="K6" s="12">
        <v>-1</v>
      </c>
      <c r="L6" s="17"/>
    </row>
    <row r="7" spans="1:12" s="7" customFormat="1" ht="19.5" customHeight="1">
      <c r="A7" s="3" t="s">
        <v>5</v>
      </c>
      <c r="B7" s="22">
        <f>VLOOKUP(A7,'[8]各單位人數分析'!$A:$B,2,0)-1</f>
        <v>245</v>
      </c>
      <c r="C7" s="22">
        <v>6</v>
      </c>
      <c r="D7" s="22">
        <v>7</v>
      </c>
      <c r="E7" s="23">
        <f t="shared" si="2"/>
        <v>0.02857142857142857</v>
      </c>
      <c r="F7" s="23">
        <f t="shared" si="0"/>
        <v>0.09177748642067803</v>
      </c>
      <c r="G7" s="24">
        <f t="shared" si="3"/>
        <v>7.342198913654242</v>
      </c>
      <c r="H7" s="25">
        <f t="shared" si="4"/>
        <v>7</v>
      </c>
      <c r="I7" s="18">
        <f t="shared" si="1"/>
        <v>1</v>
      </c>
      <c r="J7" s="21">
        <f t="shared" si="5"/>
        <v>0</v>
      </c>
      <c r="K7" s="12">
        <v>0</v>
      </c>
      <c r="L7" s="17"/>
    </row>
    <row r="8" spans="1:12" ht="19.5" customHeight="1">
      <c r="A8" s="3" t="s">
        <v>6</v>
      </c>
      <c r="B8" s="22">
        <f>VLOOKUP(A8,'[8]各單位人數分析'!$A:$B,2,0)</f>
        <v>142</v>
      </c>
      <c r="C8" s="22">
        <v>4</v>
      </c>
      <c r="D8" s="22">
        <v>4</v>
      </c>
      <c r="E8" s="23">
        <f t="shared" si="2"/>
        <v>0.028169014084507043</v>
      </c>
      <c r="F8" s="23">
        <f t="shared" si="0"/>
        <v>0.05319348192545421</v>
      </c>
      <c r="G8" s="24">
        <f>F8*$G$3</f>
        <v>4.255478554036337</v>
      </c>
      <c r="H8" s="25">
        <f t="shared" si="4"/>
        <v>4</v>
      </c>
      <c r="I8" s="18">
        <f t="shared" si="1"/>
        <v>1</v>
      </c>
      <c r="J8" s="12">
        <f t="shared" si="5"/>
        <v>0</v>
      </c>
      <c r="K8" s="12">
        <v>0</v>
      </c>
      <c r="L8" s="17"/>
    </row>
    <row r="9" spans="1:12" ht="19.5" customHeight="1">
      <c r="A9" s="58" t="s">
        <v>7</v>
      </c>
      <c r="B9" s="59">
        <f>VLOOKUP(A9,'[8]各單位人數分析'!$A:$B,2,0)</f>
        <v>161</v>
      </c>
      <c r="C9" s="59">
        <v>3</v>
      </c>
      <c r="D9" s="59">
        <v>3</v>
      </c>
      <c r="E9" s="60">
        <f t="shared" si="2"/>
        <v>0.018633540372670808</v>
      </c>
      <c r="F9" s="60">
        <f t="shared" si="0"/>
        <v>0.060310919647874134</v>
      </c>
      <c r="G9" s="61">
        <f t="shared" si="3"/>
        <v>4.824873571829931</v>
      </c>
      <c r="H9" s="62">
        <f t="shared" si="4"/>
        <v>5</v>
      </c>
      <c r="I9" s="63">
        <f t="shared" si="1"/>
        <v>0.6</v>
      </c>
      <c r="J9" s="64">
        <f t="shared" si="5"/>
        <v>-2</v>
      </c>
      <c r="K9" s="65">
        <v>-2</v>
      </c>
      <c r="L9" s="17"/>
    </row>
    <row r="10" spans="1:12" ht="19.5" customHeight="1">
      <c r="A10" s="3" t="s">
        <v>26</v>
      </c>
      <c r="B10" s="22">
        <f>VLOOKUP(A10,'[8]各單位人數分析'!$A:$B,2,0)-1</f>
        <v>168</v>
      </c>
      <c r="C10" s="22">
        <v>4</v>
      </c>
      <c r="D10" s="22">
        <v>5</v>
      </c>
      <c r="E10" s="23">
        <f t="shared" si="2"/>
        <v>0.02976190476190476</v>
      </c>
      <c r="F10" s="23">
        <f t="shared" si="0"/>
        <v>0.0629331335456078</v>
      </c>
      <c r="G10" s="24">
        <f>F10*$G$3</f>
        <v>5.034650683648624</v>
      </c>
      <c r="H10" s="25">
        <f t="shared" si="4"/>
        <v>5</v>
      </c>
      <c r="I10" s="18">
        <f t="shared" si="1"/>
        <v>1</v>
      </c>
      <c r="J10" s="21">
        <f t="shared" si="5"/>
        <v>0</v>
      </c>
      <c r="K10" s="12">
        <v>0</v>
      </c>
      <c r="L10" s="17"/>
    </row>
    <row r="11" spans="1:12" s="6" customFormat="1" ht="19.5" customHeight="1">
      <c r="A11" s="58" t="s">
        <v>28</v>
      </c>
      <c r="B11" s="59">
        <f>VLOOKUP(A11,'[8]各單位人數分析'!$A:$B,2,0)</f>
        <v>61</v>
      </c>
      <c r="C11" s="59">
        <v>1</v>
      </c>
      <c r="D11" s="59">
        <v>1</v>
      </c>
      <c r="E11" s="60">
        <f t="shared" si="2"/>
        <v>0.01639344262295082</v>
      </c>
      <c r="F11" s="60">
        <f t="shared" si="0"/>
        <v>0.022850721108821876</v>
      </c>
      <c r="G11" s="61">
        <f t="shared" si="3"/>
        <v>1.82805768870575</v>
      </c>
      <c r="H11" s="62">
        <f t="shared" si="4"/>
        <v>2</v>
      </c>
      <c r="I11" s="63">
        <f t="shared" si="1"/>
        <v>0.5</v>
      </c>
      <c r="J11" s="64">
        <f t="shared" si="5"/>
        <v>-1</v>
      </c>
      <c r="K11" s="65">
        <v>-1</v>
      </c>
      <c r="L11" s="17"/>
    </row>
    <row r="12" spans="1:12" s="6" customFormat="1" ht="19.5" customHeight="1">
      <c r="A12" s="3" t="s">
        <v>34</v>
      </c>
      <c r="B12" s="22">
        <f>VLOOKUP(A12,'[8]各單位人數分析'!$A:$B,2,0)-1</f>
        <v>89</v>
      </c>
      <c r="C12" s="22">
        <v>3</v>
      </c>
      <c r="D12" s="22">
        <v>4</v>
      </c>
      <c r="E12" s="23">
        <f t="shared" si="2"/>
        <v>0.0449438202247191</v>
      </c>
      <c r="F12" s="23">
        <f t="shared" si="0"/>
        <v>0.033339576699756505</v>
      </c>
      <c r="G12" s="24">
        <f>F12*$G$3</f>
        <v>2.6671661359805205</v>
      </c>
      <c r="H12" s="25">
        <f t="shared" si="4"/>
        <v>3</v>
      </c>
      <c r="I12" s="18">
        <f t="shared" si="1"/>
        <v>1.3333333333333333</v>
      </c>
      <c r="J12" s="12">
        <f t="shared" si="5"/>
        <v>1</v>
      </c>
      <c r="K12" s="12">
        <v>1.5</v>
      </c>
      <c r="L12" s="17"/>
    </row>
    <row r="13" spans="1:12" s="36" customFormat="1" ht="19.5" customHeight="1">
      <c r="A13" s="3" t="s">
        <v>8</v>
      </c>
      <c r="B13" s="22">
        <f>VLOOKUP(A13,'[8]各單位人數分析'!$A:$B,2,0)</f>
        <v>33</v>
      </c>
      <c r="C13" s="22">
        <v>1</v>
      </c>
      <c r="D13" s="22">
        <v>1</v>
      </c>
      <c r="E13" s="23">
        <f t="shared" si="2"/>
        <v>0.030303030303030304</v>
      </c>
      <c r="F13" s="23">
        <f t="shared" si="0"/>
        <v>0.012361865517887245</v>
      </c>
      <c r="G13" s="24">
        <f t="shared" si="3"/>
        <v>0.9889492414309796</v>
      </c>
      <c r="H13" s="25">
        <f t="shared" si="4"/>
        <v>1</v>
      </c>
      <c r="I13" s="18">
        <f t="shared" si="1"/>
        <v>1</v>
      </c>
      <c r="J13" s="21">
        <f t="shared" si="5"/>
        <v>0</v>
      </c>
      <c r="K13" s="12">
        <v>0</v>
      </c>
      <c r="L13" s="17"/>
    </row>
    <row r="14" spans="1:12" ht="19.5" customHeight="1">
      <c r="A14" s="9" t="s">
        <v>36</v>
      </c>
      <c r="B14" s="22">
        <f>VLOOKUP(A14,'[8]各單位人數分析'!$A:$B,2,0)</f>
        <v>4</v>
      </c>
      <c r="C14" s="22">
        <v>0</v>
      </c>
      <c r="D14" s="22">
        <v>0</v>
      </c>
      <c r="E14" s="23">
        <f t="shared" si="2"/>
        <v>0</v>
      </c>
      <c r="F14" s="23">
        <f t="shared" si="0"/>
        <v>0.0014984079415620902</v>
      </c>
      <c r="G14" s="24">
        <f t="shared" si="3"/>
        <v>0.11987263532496722</v>
      </c>
      <c r="H14" s="30">
        <f t="shared" si="4"/>
        <v>0</v>
      </c>
      <c r="I14" s="18" t="s">
        <v>43</v>
      </c>
      <c r="J14" s="12">
        <f t="shared" si="5"/>
        <v>0</v>
      </c>
      <c r="K14" s="12">
        <v>0</v>
      </c>
      <c r="L14" s="17"/>
    </row>
    <row r="15" spans="1:12" s="37" customFormat="1" ht="19.5" customHeight="1">
      <c r="A15" s="58" t="s">
        <v>9</v>
      </c>
      <c r="B15" s="59">
        <f>VLOOKUP(A15,'[8]各單位人數分析'!$A:$B,2,0)-1.5</f>
        <v>95.5</v>
      </c>
      <c r="C15" s="59">
        <v>2.5</v>
      </c>
      <c r="D15" s="59">
        <v>2.5</v>
      </c>
      <c r="E15" s="60">
        <f t="shared" si="2"/>
        <v>0.02617801047120419</v>
      </c>
      <c r="F15" s="60">
        <f t="shared" si="0"/>
        <v>0.03577448960479491</v>
      </c>
      <c r="G15" s="61">
        <f t="shared" si="3"/>
        <v>2.8619591683835925</v>
      </c>
      <c r="H15" s="66">
        <f t="shared" si="4"/>
        <v>3</v>
      </c>
      <c r="I15" s="63">
        <f t="shared" si="1"/>
        <v>0.8333333333333334</v>
      </c>
      <c r="J15" s="64">
        <f t="shared" si="5"/>
        <v>-0.5</v>
      </c>
      <c r="K15" s="65">
        <v>-0.5</v>
      </c>
      <c r="L15" s="17"/>
    </row>
    <row r="16" spans="1:12" ht="19.5" customHeight="1">
      <c r="A16" s="3" t="s">
        <v>42</v>
      </c>
      <c r="B16" s="22">
        <f>VLOOKUP(A16,'[8]各單位人數分析'!$A:$B,2,0)</f>
        <v>83</v>
      </c>
      <c r="C16" s="22">
        <v>4</v>
      </c>
      <c r="D16" s="22">
        <v>5</v>
      </c>
      <c r="E16" s="23">
        <f t="shared" si="2"/>
        <v>0.060240963855421686</v>
      </c>
      <c r="F16" s="23">
        <f t="shared" si="0"/>
        <v>0.031091964787413374</v>
      </c>
      <c r="G16" s="24">
        <f>F16*$G$3</f>
        <v>2.48735718299307</v>
      </c>
      <c r="H16" s="30">
        <f t="shared" si="4"/>
        <v>2</v>
      </c>
      <c r="I16" s="18">
        <f t="shared" si="1"/>
        <v>2.5</v>
      </c>
      <c r="J16" s="12">
        <f t="shared" si="5"/>
        <v>3</v>
      </c>
      <c r="K16" s="12">
        <v>2</v>
      </c>
      <c r="L16" s="17"/>
    </row>
    <row r="17" spans="1:12" ht="19.5" customHeight="1">
      <c r="A17" s="3" t="s">
        <v>10</v>
      </c>
      <c r="B17" s="22">
        <f>VLOOKUP(A17,'[8]各單位人數分析'!$A:$B,2,0)</f>
        <v>53</v>
      </c>
      <c r="C17" s="22">
        <v>2</v>
      </c>
      <c r="D17" s="22">
        <v>4</v>
      </c>
      <c r="E17" s="23">
        <f t="shared" si="2"/>
        <v>0.07547169811320754</v>
      </c>
      <c r="F17" s="23">
        <f t="shared" si="0"/>
        <v>0.019853905225697695</v>
      </c>
      <c r="G17" s="24">
        <f t="shared" si="3"/>
        <v>1.5883124180558155</v>
      </c>
      <c r="H17" s="30">
        <f t="shared" si="4"/>
        <v>2</v>
      </c>
      <c r="I17" s="18">
        <f t="shared" si="1"/>
        <v>2</v>
      </c>
      <c r="J17" s="12">
        <f t="shared" si="5"/>
        <v>2</v>
      </c>
      <c r="K17" s="12">
        <v>2</v>
      </c>
      <c r="L17" s="17"/>
    </row>
    <row r="18" spans="1:12" s="37" customFormat="1" ht="19.5" customHeight="1">
      <c r="A18" s="3" t="s">
        <v>11</v>
      </c>
      <c r="B18" s="22">
        <f>VLOOKUP(A18,'[8]各單位人數分析'!$A:$B,2,0)</f>
        <v>44</v>
      </c>
      <c r="C18" s="22">
        <v>1</v>
      </c>
      <c r="D18" s="22">
        <v>2</v>
      </c>
      <c r="E18" s="23">
        <f t="shared" si="2"/>
        <v>0.045454545454545456</v>
      </c>
      <c r="F18" s="23">
        <f t="shared" si="0"/>
        <v>0.016482487357182992</v>
      </c>
      <c r="G18" s="24">
        <f t="shared" si="3"/>
        <v>1.3185989885746394</v>
      </c>
      <c r="H18" s="30">
        <f t="shared" si="4"/>
        <v>1</v>
      </c>
      <c r="I18" s="18">
        <f t="shared" si="1"/>
        <v>2</v>
      </c>
      <c r="J18" s="12">
        <f t="shared" si="5"/>
        <v>1</v>
      </c>
      <c r="K18" s="12">
        <v>1</v>
      </c>
      <c r="L18" s="17"/>
    </row>
    <row r="19" spans="1:12" ht="19.5" customHeight="1">
      <c r="A19" s="58" t="s">
        <v>12</v>
      </c>
      <c r="B19" s="59">
        <f>VLOOKUP(A19,'[8]各單位人數分析'!$A:$B,2,0)</f>
        <v>19</v>
      </c>
      <c r="C19" s="59">
        <v>0</v>
      </c>
      <c r="D19" s="59">
        <v>0</v>
      </c>
      <c r="E19" s="60">
        <f t="shared" si="2"/>
        <v>0</v>
      </c>
      <c r="F19" s="60">
        <f t="shared" si="0"/>
        <v>0.0071174377224199285</v>
      </c>
      <c r="G19" s="61">
        <f t="shared" si="3"/>
        <v>0.5693950177935942</v>
      </c>
      <c r="H19" s="66">
        <f t="shared" si="4"/>
        <v>1</v>
      </c>
      <c r="I19" s="63">
        <f t="shared" si="1"/>
        <v>0</v>
      </c>
      <c r="J19" s="64">
        <f t="shared" si="5"/>
        <v>-1</v>
      </c>
      <c r="K19" s="65">
        <v>-1</v>
      </c>
      <c r="L19" s="17"/>
    </row>
    <row r="20" spans="1:12" ht="18.75" customHeight="1">
      <c r="A20" s="3" t="s">
        <v>32</v>
      </c>
      <c r="B20" s="22">
        <f>VLOOKUP(A20,'[8]各單位人數分析'!$A:$B,2,0)</f>
        <v>25</v>
      </c>
      <c r="C20" s="22">
        <v>1</v>
      </c>
      <c r="D20" s="22">
        <v>1</v>
      </c>
      <c r="E20" s="23">
        <f t="shared" si="2"/>
        <v>0.04</v>
      </c>
      <c r="F20" s="23">
        <f t="shared" si="0"/>
        <v>0.009365049634763064</v>
      </c>
      <c r="G20" s="24">
        <f>F20*$G$3</f>
        <v>0.7492039707810451</v>
      </c>
      <c r="H20" s="30">
        <f t="shared" si="4"/>
        <v>1</v>
      </c>
      <c r="I20" s="18">
        <f t="shared" si="1"/>
        <v>1</v>
      </c>
      <c r="J20" s="12">
        <f t="shared" si="5"/>
        <v>0</v>
      </c>
      <c r="K20" s="12">
        <v>0</v>
      </c>
      <c r="L20" s="17"/>
    </row>
    <row r="21" spans="1:12" ht="19.5" customHeight="1">
      <c r="A21" s="3" t="s">
        <v>13</v>
      </c>
      <c r="B21" s="22">
        <f>VLOOKUP(A21,'[8]各單位人數分析'!$A:$B,2,0)</f>
        <v>37</v>
      </c>
      <c r="C21" s="22">
        <v>2</v>
      </c>
      <c r="D21" s="22">
        <v>3</v>
      </c>
      <c r="E21" s="23">
        <f t="shared" si="2"/>
        <v>0.08108108108108109</v>
      </c>
      <c r="F21" s="23">
        <f t="shared" si="0"/>
        <v>0.013860273459449336</v>
      </c>
      <c r="G21" s="24">
        <f t="shared" si="3"/>
        <v>1.1088218767559468</v>
      </c>
      <c r="H21" s="30">
        <f t="shared" si="4"/>
        <v>1</v>
      </c>
      <c r="I21" s="18">
        <f t="shared" si="1"/>
        <v>3</v>
      </c>
      <c r="J21" s="12">
        <f t="shared" si="5"/>
        <v>2</v>
      </c>
      <c r="K21" s="12">
        <v>2</v>
      </c>
      <c r="L21" s="17"/>
    </row>
    <row r="22" spans="1:12" s="8" customFormat="1" ht="19.5" customHeight="1">
      <c r="A22" s="58" t="s">
        <v>14</v>
      </c>
      <c r="B22" s="59">
        <f>VLOOKUP(A22,'[8]各單位人數分析'!$A:$B,2,0)-0.5</f>
        <v>21.5</v>
      </c>
      <c r="C22" s="59">
        <v>0.5</v>
      </c>
      <c r="D22" s="59">
        <v>0.5</v>
      </c>
      <c r="E22" s="60">
        <f t="shared" si="2"/>
        <v>0.023255813953488372</v>
      </c>
      <c r="F22" s="60">
        <f t="shared" si="0"/>
        <v>0.008053942685896235</v>
      </c>
      <c r="G22" s="61">
        <f>F22*$G$3</f>
        <v>0.6443154148716989</v>
      </c>
      <c r="H22" s="66">
        <f t="shared" si="4"/>
        <v>1</v>
      </c>
      <c r="I22" s="63">
        <f t="shared" si="1"/>
        <v>0.5</v>
      </c>
      <c r="J22" s="64">
        <f t="shared" si="5"/>
        <v>-0.5</v>
      </c>
      <c r="K22" s="65">
        <v>-1</v>
      </c>
      <c r="L22" s="17"/>
    </row>
    <row r="23" spans="1:12" ht="19.5" customHeight="1">
      <c r="A23" s="3" t="s">
        <v>15</v>
      </c>
      <c r="B23" s="22">
        <f>VLOOKUP(A23,'[8]各單位人數分析'!$A:$B,2,0)</f>
        <v>23</v>
      </c>
      <c r="C23" s="22">
        <v>2</v>
      </c>
      <c r="D23" s="22">
        <v>3</v>
      </c>
      <c r="E23" s="23">
        <f t="shared" si="2"/>
        <v>0.13043478260869565</v>
      </c>
      <c r="F23" s="23">
        <f t="shared" si="0"/>
        <v>0.008615845663982019</v>
      </c>
      <c r="G23" s="24">
        <f t="shared" si="3"/>
        <v>0.6892676531185615</v>
      </c>
      <c r="H23" s="30">
        <f t="shared" si="4"/>
        <v>1</v>
      </c>
      <c r="I23" s="18">
        <f t="shared" si="1"/>
        <v>3</v>
      </c>
      <c r="J23" s="12">
        <f t="shared" si="5"/>
        <v>2</v>
      </c>
      <c r="K23" s="12">
        <v>2</v>
      </c>
      <c r="L23" s="17"/>
    </row>
    <row r="24" spans="1:12" ht="19.5" customHeight="1">
      <c r="A24" s="3" t="s">
        <v>16</v>
      </c>
      <c r="B24" s="22">
        <f>VLOOKUP(A24,'[8]各單位人數分析'!$A:$B,2,0)</f>
        <v>28</v>
      </c>
      <c r="C24" s="22">
        <v>5</v>
      </c>
      <c r="D24" s="22">
        <v>7</v>
      </c>
      <c r="E24" s="23">
        <f t="shared" si="2"/>
        <v>0.25</v>
      </c>
      <c r="F24" s="23">
        <f t="shared" si="0"/>
        <v>0.010488855590934631</v>
      </c>
      <c r="G24" s="24">
        <f>F24*$G$3</f>
        <v>0.8391084472747705</v>
      </c>
      <c r="H24" s="30">
        <f t="shared" si="4"/>
        <v>1</v>
      </c>
      <c r="I24" s="18">
        <f t="shared" si="1"/>
        <v>7</v>
      </c>
      <c r="J24" s="12">
        <f t="shared" si="5"/>
        <v>6</v>
      </c>
      <c r="K24" s="12">
        <v>7</v>
      </c>
      <c r="L24" s="17"/>
    </row>
    <row r="25" spans="1:12" s="7" customFormat="1" ht="19.5" customHeight="1">
      <c r="A25" s="58" t="s">
        <v>25</v>
      </c>
      <c r="B25" s="59">
        <f>VLOOKUP(A25,'[8]各單位人數分析'!$A:$B,2,0)</f>
        <v>31</v>
      </c>
      <c r="C25" s="59">
        <v>0</v>
      </c>
      <c r="D25" s="59">
        <v>0</v>
      </c>
      <c r="E25" s="60">
        <f t="shared" si="2"/>
        <v>0</v>
      </c>
      <c r="F25" s="60">
        <f t="shared" si="0"/>
        <v>0.0116126615471062</v>
      </c>
      <c r="G25" s="61">
        <f>F25*$G$3</f>
        <v>0.9290129237684961</v>
      </c>
      <c r="H25" s="62">
        <f t="shared" si="4"/>
        <v>1</v>
      </c>
      <c r="I25" s="63">
        <f t="shared" si="1"/>
        <v>0</v>
      </c>
      <c r="J25" s="64">
        <f t="shared" si="5"/>
        <v>-1</v>
      </c>
      <c r="K25" s="65">
        <v>-1</v>
      </c>
      <c r="L25" s="17"/>
    </row>
    <row r="26" spans="1:12" ht="19.5" customHeight="1">
      <c r="A26" s="67" t="s">
        <v>47</v>
      </c>
      <c r="B26" s="59">
        <f>VLOOKUP(A26,'[8]各單位人數分析'!$A:$B,2,0)</f>
        <v>37</v>
      </c>
      <c r="C26" s="59">
        <v>0</v>
      </c>
      <c r="D26" s="59">
        <v>0</v>
      </c>
      <c r="E26" s="60">
        <f t="shared" si="2"/>
        <v>0</v>
      </c>
      <c r="F26" s="60">
        <f t="shared" si="0"/>
        <v>0.013860273459449336</v>
      </c>
      <c r="G26" s="61">
        <f aca="true" t="shared" si="6" ref="G26:G34">F26*$G$3</f>
        <v>1.1088218767559468</v>
      </c>
      <c r="H26" s="66">
        <f t="shared" si="4"/>
        <v>1</v>
      </c>
      <c r="I26" s="63">
        <f t="shared" si="1"/>
        <v>0</v>
      </c>
      <c r="J26" s="64">
        <f t="shared" si="5"/>
        <v>-1</v>
      </c>
      <c r="K26" s="65">
        <v>-1</v>
      </c>
      <c r="L26" s="17"/>
    </row>
    <row r="27" spans="1:12" ht="19.5" customHeight="1">
      <c r="A27" s="3" t="s">
        <v>17</v>
      </c>
      <c r="B27" s="22">
        <f>VLOOKUP(A27,'[8]各單位人數分析'!$A:$B,2,0)</f>
        <v>3</v>
      </c>
      <c r="C27" s="22">
        <v>0</v>
      </c>
      <c r="D27" s="22">
        <v>0</v>
      </c>
      <c r="E27" s="23">
        <f t="shared" si="2"/>
        <v>0</v>
      </c>
      <c r="F27" s="23">
        <f t="shared" si="0"/>
        <v>0.0011238059561715678</v>
      </c>
      <c r="G27" s="24">
        <f t="shared" si="6"/>
        <v>0.08990447649372542</v>
      </c>
      <c r="H27" s="30">
        <f t="shared" si="4"/>
        <v>0</v>
      </c>
      <c r="I27" s="18" t="s">
        <v>43</v>
      </c>
      <c r="J27" s="12">
        <f t="shared" si="5"/>
        <v>0</v>
      </c>
      <c r="K27" s="12">
        <v>0</v>
      </c>
      <c r="L27" s="17"/>
    </row>
    <row r="28" spans="1:12" ht="19.5" customHeight="1">
      <c r="A28" s="3" t="s">
        <v>18</v>
      </c>
      <c r="B28" s="22">
        <f>VLOOKUP(A28,'[8]各單位人數分析'!$A:$B,2,0)</f>
        <v>1</v>
      </c>
      <c r="C28" s="22">
        <v>0</v>
      </c>
      <c r="D28" s="22">
        <v>0</v>
      </c>
      <c r="E28" s="23">
        <f t="shared" si="2"/>
        <v>0</v>
      </c>
      <c r="F28" s="23">
        <f t="shared" si="0"/>
        <v>0.00037460198539052256</v>
      </c>
      <c r="G28" s="24">
        <f t="shared" si="6"/>
        <v>0.029968158831241806</v>
      </c>
      <c r="H28" s="30">
        <f t="shared" si="4"/>
        <v>0</v>
      </c>
      <c r="I28" s="18" t="s">
        <v>43</v>
      </c>
      <c r="J28" s="12">
        <f t="shared" si="5"/>
        <v>0</v>
      </c>
      <c r="K28" s="12">
        <v>0</v>
      </c>
      <c r="L28" s="17"/>
    </row>
    <row r="29" spans="1:12" ht="19.5" customHeight="1">
      <c r="A29" s="34" t="s">
        <v>48</v>
      </c>
      <c r="B29" s="22">
        <f>VLOOKUP(A29,'[8]各單位人數分析'!$A:$B,2,0)</f>
        <v>14</v>
      </c>
      <c r="C29" s="22">
        <v>0</v>
      </c>
      <c r="D29" s="22">
        <v>0</v>
      </c>
      <c r="E29" s="23">
        <f t="shared" si="2"/>
        <v>0</v>
      </c>
      <c r="F29" s="23">
        <f t="shared" si="0"/>
        <v>0.005244427795467316</v>
      </c>
      <c r="G29" s="24">
        <f>F29*$G$3</f>
        <v>0.41955422363738526</v>
      </c>
      <c r="H29" s="30">
        <f t="shared" si="4"/>
        <v>0</v>
      </c>
      <c r="I29" s="18" t="s">
        <v>43</v>
      </c>
      <c r="J29" s="12">
        <f t="shared" si="5"/>
        <v>0</v>
      </c>
      <c r="K29" s="12">
        <v>0</v>
      </c>
      <c r="L29" s="17"/>
    </row>
    <row r="30" spans="1:12" ht="16.5">
      <c r="A30" s="9" t="s">
        <v>38</v>
      </c>
      <c r="B30" s="22">
        <f>VLOOKUP(A30,'[8]各單位人數分析'!$A:$B,2,0)</f>
        <v>5</v>
      </c>
      <c r="C30" s="22">
        <v>0</v>
      </c>
      <c r="D30" s="22">
        <v>0</v>
      </c>
      <c r="E30" s="23">
        <f t="shared" si="2"/>
        <v>0</v>
      </c>
      <c r="F30" s="23">
        <f t="shared" si="0"/>
        <v>0.0018730099269526129</v>
      </c>
      <c r="G30" s="24">
        <f t="shared" si="6"/>
        <v>0.14984079415620905</v>
      </c>
      <c r="H30" s="30">
        <f t="shared" si="4"/>
        <v>0</v>
      </c>
      <c r="I30" s="18" t="s">
        <v>43</v>
      </c>
      <c r="J30" s="12">
        <f t="shared" si="5"/>
        <v>0</v>
      </c>
      <c r="K30" s="12">
        <v>0</v>
      </c>
      <c r="L30" s="17"/>
    </row>
    <row r="31" spans="1:12" s="8" customFormat="1" ht="16.5">
      <c r="A31" s="58" t="s">
        <v>33</v>
      </c>
      <c r="B31" s="59">
        <f>VLOOKUP(A31,'[8]各單位人數分析'!$A:$B,2,0)</f>
        <v>22</v>
      </c>
      <c r="C31" s="59">
        <v>0</v>
      </c>
      <c r="D31" s="59">
        <v>0</v>
      </c>
      <c r="E31" s="60">
        <f t="shared" si="2"/>
        <v>0</v>
      </c>
      <c r="F31" s="60">
        <f t="shared" si="0"/>
        <v>0.008241243678591496</v>
      </c>
      <c r="G31" s="61">
        <f>F31*$G$3</f>
        <v>0.6592994942873197</v>
      </c>
      <c r="H31" s="66">
        <f t="shared" si="4"/>
        <v>1</v>
      </c>
      <c r="I31" s="63">
        <f>D31/H31</f>
        <v>0</v>
      </c>
      <c r="J31" s="64">
        <f t="shared" si="5"/>
        <v>-1</v>
      </c>
      <c r="K31" s="65">
        <v>-1</v>
      </c>
      <c r="L31" s="17"/>
    </row>
    <row r="32" spans="1:12" s="8" customFormat="1" ht="16.5">
      <c r="A32" s="3" t="s">
        <v>37</v>
      </c>
      <c r="B32" s="22">
        <f>VLOOKUP(A32,'[8]各單位人數分析'!$A:$B,2,0)</f>
        <v>27</v>
      </c>
      <c r="C32" s="33">
        <v>1</v>
      </c>
      <c r="D32" s="33">
        <v>1</v>
      </c>
      <c r="E32" s="69">
        <f t="shared" si="2"/>
        <v>0.037037037037037035</v>
      </c>
      <c r="F32" s="69">
        <f t="shared" si="0"/>
        <v>0.01011425360554411</v>
      </c>
      <c r="G32" s="70">
        <f t="shared" si="6"/>
        <v>0.8091402884435288</v>
      </c>
      <c r="H32" s="30">
        <f t="shared" si="4"/>
        <v>1</v>
      </c>
      <c r="I32" s="71">
        <f>D32/H32</f>
        <v>1</v>
      </c>
      <c r="J32" s="21">
        <f t="shared" si="5"/>
        <v>0</v>
      </c>
      <c r="K32" s="12">
        <v>0</v>
      </c>
      <c r="L32" s="17"/>
    </row>
    <row r="33" spans="1:12" ht="16.5">
      <c r="A33" s="58" t="s">
        <v>40</v>
      </c>
      <c r="B33" s="59">
        <f>VLOOKUP(A33,'[8]各單位人數分析'!$A:$B,2,0)</f>
        <v>138</v>
      </c>
      <c r="C33" s="68">
        <v>2</v>
      </c>
      <c r="D33" s="68">
        <v>2</v>
      </c>
      <c r="E33" s="60">
        <f t="shared" si="2"/>
        <v>0.014492753623188406</v>
      </c>
      <c r="F33" s="60">
        <f t="shared" si="0"/>
        <v>0.051695073983892115</v>
      </c>
      <c r="G33" s="61">
        <f>F33*$G$3</f>
        <v>4.135605918711369</v>
      </c>
      <c r="H33" s="66">
        <f t="shared" si="4"/>
        <v>4</v>
      </c>
      <c r="I33" s="63">
        <f>D33/H33</f>
        <v>0.5</v>
      </c>
      <c r="J33" s="64">
        <f t="shared" si="5"/>
        <v>-2</v>
      </c>
      <c r="K33" s="65">
        <v>-2</v>
      </c>
      <c r="L33" s="17"/>
    </row>
    <row r="34" spans="1:12" ht="16.5">
      <c r="A34" s="3" t="s">
        <v>39</v>
      </c>
      <c r="B34" s="22">
        <v>70</v>
      </c>
      <c r="C34" s="33">
        <v>2</v>
      </c>
      <c r="D34" s="33">
        <v>4</v>
      </c>
      <c r="E34" s="23">
        <f t="shared" si="2"/>
        <v>0.05714285714285714</v>
      </c>
      <c r="F34" s="23">
        <f t="shared" si="0"/>
        <v>0.02622213897733658</v>
      </c>
      <c r="G34" s="24">
        <f t="shared" si="6"/>
        <v>2.0977711181869263</v>
      </c>
      <c r="H34" s="30">
        <f>ROUND(G34,0)</f>
        <v>2</v>
      </c>
      <c r="I34" s="18">
        <f>D34/H34</f>
        <v>2</v>
      </c>
      <c r="J34" s="21">
        <f t="shared" si="5"/>
        <v>2</v>
      </c>
      <c r="K34" s="12">
        <v>2</v>
      </c>
      <c r="L34" s="17"/>
    </row>
    <row r="35" spans="1:12" s="37" customFormat="1" ht="33" customHeight="1">
      <c r="A35" s="44" t="s">
        <v>19</v>
      </c>
      <c r="B35" s="75" t="s">
        <v>93</v>
      </c>
      <c r="C35" s="76"/>
      <c r="D35" s="76"/>
      <c r="E35" s="76"/>
      <c r="F35" s="76"/>
      <c r="G35" s="76"/>
      <c r="H35" s="76"/>
      <c r="I35" s="76"/>
      <c r="J35" s="76"/>
      <c r="K35" s="77"/>
      <c r="L35" s="45"/>
    </row>
    <row r="36" spans="1:12" ht="17.25" customHeight="1">
      <c r="A36" s="3" t="s">
        <v>29</v>
      </c>
      <c r="B36" s="33">
        <f>SUM(B4:B34)</f>
        <v>2669.5</v>
      </c>
      <c r="C36" s="33">
        <f>SUM(C4:C34)</f>
        <v>71.5</v>
      </c>
      <c r="D36" s="33">
        <f>SUM(D4:D34)</f>
        <v>87.5</v>
      </c>
      <c r="E36" s="4"/>
      <c r="F36" s="4"/>
      <c r="G36" s="46"/>
      <c r="H36" s="5"/>
      <c r="I36" s="20"/>
      <c r="J36" s="14"/>
      <c r="K36" s="47"/>
      <c r="L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2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54"/>
    </row>
    <row r="42" spans="1:7" ht="16.5">
      <c r="A42" s="80" t="s">
        <v>88</v>
      </c>
      <c r="B42" s="80"/>
      <c r="C42" s="80"/>
      <c r="D42" s="80"/>
      <c r="E42" s="80"/>
      <c r="F42" s="80"/>
      <c r="G42" s="80"/>
    </row>
  </sheetData>
  <sheetProtection/>
  <mergeCells count="14"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K2:K3"/>
    <mergeCell ref="B35:K35"/>
    <mergeCell ref="A41:K41"/>
    <mergeCell ref="A42:G42"/>
  </mergeCells>
  <printOptions/>
  <pageMargins left="0.5118110236220472" right="0.3937007874015748" top="0.984251968503937" bottom="0.984251968503937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9.625" style="50" customWidth="1"/>
    <col min="10" max="10" width="9.625" style="51" customWidth="1"/>
    <col min="11" max="12" width="9.625" style="42" customWidth="1"/>
    <col min="13" max="16384" width="9.00390625" style="1" customWidth="1"/>
  </cols>
  <sheetData>
    <row r="1" spans="1:13" ht="21">
      <c r="A1" s="81" t="s">
        <v>80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/>
      <c r="M1" s="39"/>
    </row>
    <row r="2" spans="1:12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23</v>
      </c>
      <c r="H2" s="90" t="s">
        <v>23</v>
      </c>
      <c r="I2" s="92" t="s">
        <v>81</v>
      </c>
      <c r="J2" s="73" t="s">
        <v>82</v>
      </c>
      <c r="K2" s="73" t="s">
        <v>77</v>
      </c>
      <c r="L2" s="41"/>
    </row>
    <row r="3" spans="1:12" s="42" customFormat="1" ht="68.25" customHeight="1">
      <c r="A3" s="82"/>
      <c r="B3" s="84"/>
      <c r="C3" s="84"/>
      <c r="D3" s="86"/>
      <c r="E3" s="87"/>
      <c r="F3" s="89"/>
      <c r="G3" s="15">
        <v>79</v>
      </c>
      <c r="H3" s="91"/>
      <c r="I3" s="93"/>
      <c r="J3" s="74"/>
      <c r="K3" s="74"/>
      <c r="L3" s="43"/>
    </row>
    <row r="4" spans="1:12" s="8" customFormat="1" ht="19.5" customHeight="1">
      <c r="A4" s="3" t="s">
        <v>2</v>
      </c>
      <c r="B4" s="22">
        <f>VLOOKUP(A4,'[7]工作表1'!$A:$B,2,0)-1</f>
        <v>205</v>
      </c>
      <c r="C4" s="22">
        <v>5</v>
      </c>
      <c r="D4" s="22">
        <v>7</v>
      </c>
      <c r="E4" s="23">
        <f>D4/B4</f>
        <v>0.03414634146341464</v>
      </c>
      <c r="F4" s="23">
        <f aca="true" t="shared" si="0" ref="F4:F34">B4/$B$36</f>
        <v>0.07706766917293233</v>
      </c>
      <c r="G4" s="24">
        <f>F4*$G$3</f>
        <v>6.088345864661654</v>
      </c>
      <c r="H4" s="25">
        <f>ROUND(G4,0)</f>
        <v>6</v>
      </c>
      <c r="I4" s="18">
        <f aca="true" t="shared" si="1" ref="I4:I26">D4/H4</f>
        <v>1.1666666666666667</v>
      </c>
      <c r="J4" s="21">
        <f>D4-H4</f>
        <v>1</v>
      </c>
      <c r="K4" s="12">
        <v>1</v>
      </c>
      <c r="L4" s="17"/>
    </row>
    <row r="5" spans="1:12" s="8" customFormat="1" ht="19.5" customHeight="1">
      <c r="A5" s="58" t="s">
        <v>3</v>
      </c>
      <c r="B5" s="59">
        <f>VLOOKUP(A5,'[7]工作表1'!$A:$B,2,0)-2.5</f>
        <v>632.5</v>
      </c>
      <c r="C5" s="59">
        <v>16.5</v>
      </c>
      <c r="D5" s="59">
        <v>17.5</v>
      </c>
      <c r="E5" s="60">
        <f aca="true" t="shared" si="2" ref="E5:E34">D5/B5</f>
        <v>0.02766798418972332</v>
      </c>
      <c r="F5" s="60">
        <f t="shared" si="0"/>
        <v>0.23778195488721804</v>
      </c>
      <c r="G5" s="61">
        <f aca="true" t="shared" si="3" ref="G5:G23">F5*$G$3</f>
        <v>18.784774436090224</v>
      </c>
      <c r="H5" s="62">
        <f aca="true" t="shared" si="4" ref="H5:H33">ROUND(G5,0)</f>
        <v>19</v>
      </c>
      <c r="I5" s="63">
        <f t="shared" si="1"/>
        <v>0.9210526315789473</v>
      </c>
      <c r="J5" s="64">
        <f aca="true" t="shared" si="5" ref="J5:J34">D5-H5</f>
        <v>-1.5</v>
      </c>
      <c r="K5" s="65">
        <v>-2.5</v>
      </c>
      <c r="L5" s="17"/>
    </row>
    <row r="6" spans="1:12" s="36" customFormat="1" ht="19.5" customHeight="1">
      <c r="A6" s="58" t="s">
        <v>4</v>
      </c>
      <c r="B6" s="59">
        <f>VLOOKUP(A6,'[7]工作表1'!$A:$B,2,0)-1</f>
        <v>153</v>
      </c>
      <c r="C6" s="59">
        <v>4</v>
      </c>
      <c r="D6" s="59">
        <v>4</v>
      </c>
      <c r="E6" s="60">
        <f t="shared" si="2"/>
        <v>0.026143790849673203</v>
      </c>
      <c r="F6" s="60">
        <f t="shared" si="0"/>
        <v>0.057518796992481205</v>
      </c>
      <c r="G6" s="61">
        <f t="shared" si="3"/>
        <v>4.543984962406015</v>
      </c>
      <c r="H6" s="62">
        <f t="shared" si="4"/>
        <v>5</v>
      </c>
      <c r="I6" s="63">
        <f t="shared" si="1"/>
        <v>0.8</v>
      </c>
      <c r="J6" s="64">
        <f t="shared" si="5"/>
        <v>-1</v>
      </c>
      <c r="K6" s="65">
        <v>0.5</v>
      </c>
      <c r="L6" s="17"/>
    </row>
    <row r="7" spans="1:12" s="7" customFormat="1" ht="19.5" customHeight="1">
      <c r="A7" s="3" t="s">
        <v>5</v>
      </c>
      <c r="B7" s="22">
        <f>VLOOKUP(A7,'[7]工作表1'!$A:$B,2,0)-1</f>
        <v>241</v>
      </c>
      <c r="C7" s="22">
        <v>6</v>
      </c>
      <c r="D7" s="22">
        <v>7</v>
      </c>
      <c r="E7" s="23">
        <f t="shared" si="2"/>
        <v>0.029045643153526972</v>
      </c>
      <c r="F7" s="23">
        <f t="shared" si="0"/>
        <v>0.0906015037593985</v>
      </c>
      <c r="G7" s="24">
        <f t="shared" si="3"/>
        <v>7.157518796992481</v>
      </c>
      <c r="H7" s="25">
        <f t="shared" si="4"/>
        <v>7</v>
      </c>
      <c r="I7" s="18">
        <f t="shared" si="1"/>
        <v>1</v>
      </c>
      <c r="J7" s="21">
        <f t="shared" si="5"/>
        <v>0</v>
      </c>
      <c r="K7" s="12">
        <v>-0.5</v>
      </c>
      <c r="L7" s="17"/>
    </row>
    <row r="8" spans="1:12" ht="19.5" customHeight="1">
      <c r="A8" s="3" t="s">
        <v>6</v>
      </c>
      <c r="B8" s="22">
        <f>VLOOKUP(A8,'[7]工作表1'!$A:$B,2,0)</f>
        <v>142</v>
      </c>
      <c r="C8" s="22">
        <v>4</v>
      </c>
      <c r="D8" s="22">
        <v>4</v>
      </c>
      <c r="E8" s="23">
        <f t="shared" si="2"/>
        <v>0.028169014084507043</v>
      </c>
      <c r="F8" s="23">
        <f t="shared" si="0"/>
        <v>0.05338345864661654</v>
      </c>
      <c r="G8" s="24">
        <f>F8*$G$3</f>
        <v>4.217293233082707</v>
      </c>
      <c r="H8" s="25">
        <f t="shared" si="4"/>
        <v>4</v>
      </c>
      <c r="I8" s="18">
        <f t="shared" si="1"/>
        <v>1</v>
      </c>
      <c r="J8" s="12">
        <f t="shared" si="5"/>
        <v>0</v>
      </c>
      <c r="K8" s="12">
        <v>0</v>
      </c>
      <c r="L8" s="17"/>
    </row>
    <row r="9" spans="1:12" ht="19.5" customHeight="1">
      <c r="A9" s="58" t="s">
        <v>7</v>
      </c>
      <c r="B9" s="59">
        <f>VLOOKUP(A9,'[7]工作表1'!$A:$B,2,0)</f>
        <v>161</v>
      </c>
      <c r="C9" s="59">
        <v>3</v>
      </c>
      <c r="D9" s="59">
        <v>3</v>
      </c>
      <c r="E9" s="60">
        <f t="shared" si="2"/>
        <v>0.018633540372670808</v>
      </c>
      <c r="F9" s="60">
        <f t="shared" si="0"/>
        <v>0.060526315789473685</v>
      </c>
      <c r="G9" s="61">
        <f t="shared" si="3"/>
        <v>4.781578947368421</v>
      </c>
      <c r="H9" s="62">
        <f t="shared" si="4"/>
        <v>5</v>
      </c>
      <c r="I9" s="63">
        <f t="shared" si="1"/>
        <v>0.6</v>
      </c>
      <c r="J9" s="64">
        <f t="shared" si="5"/>
        <v>-2</v>
      </c>
      <c r="K9" s="65">
        <v>-2</v>
      </c>
      <c r="L9" s="17"/>
    </row>
    <row r="10" spans="1:12" ht="19.5" customHeight="1">
      <c r="A10" s="3" t="s">
        <v>26</v>
      </c>
      <c r="B10" s="22">
        <f>VLOOKUP(A10,'[7]工作表1'!$A:$B,2,0)</f>
        <v>154</v>
      </c>
      <c r="C10" s="22">
        <v>4</v>
      </c>
      <c r="D10" s="22">
        <v>5</v>
      </c>
      <c r="E10" s="23">
        <f t="shared" si="2"/>
        <v>0.032467532467532464</v>
      </c>
      <c r="F10" s="23">
        <f t="shared" si="0"/>
        <v>0.05789473684210526</v>
      </c>
      <c r="G10" s="24">
        <f>F10*$G$3</f>
        <v>4.573684210526316</v>
      </c>
      <c r="H10" s="25">
        <f t="shared" si="4"/>
        <v>5</v>
      </c>
      <c r="I10" s="18">
        <f t="shared" si="1"/>
        <v>1</v>
      </c>
      <c r="J10" s="21">
        <f t="shared" si="5"/>
        <v>0</v>
      </c>
      <c r="K10" s="12">
        <v>0</v>
      </c>
      <c r="L10" s="17"/>
    </row>
    <row r="11" spans="1:12" s="6" customFormat="1" ht="19.5" customHeight="1">
      <c r="A11" s="58" t="s">
        <v>28</v>
      </c>
      <c r="B11" s="59">
        <f>VLOOKUP(A11,'[7]工作表1'!$A:$B,2,0)</f>
        <v>55</v>
      </c>
      <c r="C11" s="59">
        <v>1</v>
      </c>
      <c r="D11" s="59">
        <v>1</v>
      </c>
      <c r="E11" s="60">
        <f t="shared" si="2"/>
        <v>0.01818181818181818</v>
      </c>
      <c r="F11" s="60">
        <f t="shared" si="0"/>
        <v>0.020676691729323307</v>
      </c>
      <c r="G11" s="61">
        <f t="shared" si="3"/>
        <v>1.6334586466165413</v>
      </c>
      <c r="H11" s="62">
        <f t="shared" si="4"/>
        <v>2</v>
      </c>
      <c r="I11" s="63">
        <f t="shared" si="1"/>
        <v>0.5</v>
      </c>
      <c r="J11" s="64">
        <f t="shared" si="5"/>
        <v>-1</v>
      </c>
      <c r="K11" s="65">
        <v>0</v>
      </c>
      <c r="L11" s="17"/>
    </row>
    <row r="12" spans="1:12" s="6" customFormat="1" ht="19.5" customHeight="1">
      <c r="A12" s="3" t="s">
        <v>34</v>
      </c>
      <c r="B12" s="22">
        <f>VLOOKUP(A12,'[7]工作表1'!$A:$B,2,0)</f>
        <v>93</v>
      </c>
      <c r="C12" s="22">
        <v>3.5</v>
      </c>
      <c r="D12" s="22">
        <v>4.5</v>
      </c>
      <c r="E12" s="23">
        <f t="shared" si="2"/>
        <v>0.04838709677419355</v>
      </c>
      <c r="F12" s="23">
        <f t="shared" si="0"/>
        <v>0.03496240601503759</v>
      </c>
      <c r="G12" s="24">
        <f>F12*$G$3</f>
        <v>2.76203007518797</v>
      </c>
      <c r="H12" s="25">
        <f t="shared" si="4"/>
        <v>3</v>
      </c>
      <c r="I12" s="18">
        <f t="shared" si="1"/>
        <v>1.5</v>
      </c>
      <c r="J12" s="12">
        <f t="shared" si="5"/>
        <v>1.5</v>
      </c>
      <c r="K12" s="12">
        <v>1</v>
      </c>
      <c r="L12" s="17"/>
    </row>
    <row r="13" spans="1:12" s="36" customFormat="1" ht="19.5" customHeight="1">
      <c r="A13" s="3" t="s">
        <v>8</v>
      </c>
      <c r="B13" s="22">
        <f>VLOOKUP(A13,'[7]工作表1'!$A:$B,2,0)</f>
        <v>33</v>
      </c>
      <c r="C13" s="22">
        <v>1</v>
      </c>
      <c r="D13" s="22">
        <v>1</v>
      </c>
      <c r="E13" s="23">
        <f t="shared" si="2"/>
        <v>0.030303030303030304</v>
      </c>
      <c r="F13" s="23">
        <f t="shared" si="0"/>
        <v>0.012406015037593985</v>
      </c>
      <c r="G13" s="24">
        <f t="shared" si="3"/>
        <v>0.9800751879699248</v>
      </c>
      <c r="H13" s="25">
        <f t="shared" si="4"/>
        <v>1</v>
      </c>
      <c r="I13" s="18">
        <f t="shared" si="1"/>
        <v>1</v>
      </c>
      <c r="J13" s="21">
        <f t="shared" si="5"/>
        <v>0</v>
      </c>
      <c r="K13" s="12">
        <v>-1</v>
      </c>
      <c r="L13" s="17"/>
    </row>
    <row r="14" spans="1:12" ht="19.5" customHeight="1">
      <c r="A14" s="9" t="s">
        <v>36</v>
      </c>
      <c r="B14" s="22">
        <f>VLOOKUP(A14,'[7]工作表1'!$A:$B,2,0)</f>
        <v>4</v>
      </c>
      <c r="C14" s="22">
        <v>0</v>
      </c>
      <c r="D14" s="22">
        <v>0</v>
      </c>
      <c r="E14" s="23">
        <f t="shared" si="2"/>
        <v>0</v>
      </c>
      <c r="F14" s="23">
        <f t="shared" si="0"/>
        <v>0.0015037593984962407</v>
      </c>
      <c r="G14" s="24">
        <f t="shared" si="3"/>
        <v>0.11879699248120301</v>
      </c>
      <c r="H14" s="30">
        <f t="shared" si="4"/>
        <v>0</v>
      </c>
      <c r="I14" s="18" t="s">
        <v>43</v>
      </c>
      <c r="J14" s="12">
        <f t="shared" si="5"/>
        <v>0</v>
      </c>
      <c r="K14" s="12">
        <v>0</v>
      </c>
      <c r="L14" s="17"/>
    </row>
    <row r="15" spans="1:12" s="37" customFormat="1" ht="19.5" customHeight="1">
      <c r="A15" s="58" t="s">
        <v>9</v>
      </c>
      <c r="B15" s="59">
        <f>VLOOKUP(A15,'[7]工作表1'!$A:$B,2,0)-1.5</f>
        <v>102.5</v>
      </c>
      <c r="C15" s="59">
        <v>2.5</v>
      </c>
      <c r="D15" s="59">
        <v>2.5</v>
      </c>
      <c r="E15" s="60">
        <f t="shared" si="2"/>
        <v>0.024390243902439025</v>
      </c>
      <c r="F15" s="60">
        <f t="shared" si="0"/>
        <v>0.03853383458646616</v>
      </c>
      <c r="G15" s="61">
        <f t="shared" si="3"/>
        <v>3.044172932330827</v>
      </c>
      <c r="H15" s="66">
        <f t="shared" si="4"/>
        <v>3</v>
      </c>
      <c r="I15" s="63">
        <f t="shared" si="1"/>
        <v>0.8333333333333334</v>
      </c>
      <c r="J15" s="64">
        <f t="shared" si="5"/>
        <v>-0.5</v>
      </c>
      <c r="K15" s="65">
        <v>-0.5</v>
      </c>
      <c r="L15" s="17"/>
    </row>
    <row r="16" spans="1:12" ht="19.5" customHeight="1">
      <c r="A16" s="3" t="s">
        <v>42</v>
      </c>
      <c r="B16" s="22">
        <f>VLOOKUP(A16,'[7]工作表1'!$A:$B,2,0)</f>
        <v>90</v>
      </c>
      <c r="C16" s="22">
        <v>4</v>
      </c>
      <c r="D16" s="22">
        <v>5</v>
      </c>
      <c r="E16" s="23">
        <f t="shared" si="2"/>
        <v>0.05555555555555555</v>
      </c>
      <c r="F16" s="23">
        <f t="shared" si="0"/>
        <v>0.03383458646616541</v>
      </c>
      <c r="G16" s="24">
        <f>F16*$G$3</f>
        <v>2.6729323308270674</v>
      </c>
      <c r="H16" s="30">
        <f t="shared" si="4"/>
        <v>3</v>
      </c>
      <c r="I16" s="18">
        <f t="shared" si="1"/>
        <v>1.6666666666666667</v>
      </c>
      <c r="J16" s="12">
        <f t="shared" si="5"/>
        <v>2</v>
      </c>
      <c r="K16" s="12">
        <v>3</v>
      </c>
      <c r="L16" s="17"/>
    </row>
    <row r="17" spans="1:12" ht="19.5" customHeight="1">
      <c r="A17" s="3" t="s">
        <v>10</v>
      </c>
      <c r="B17" s="22">
        <f>VLOOKUP(A17,'[7]工作表1'!$A:$B,2,0)</f>
        <v>54</v>
      </c>
      <c r="C17" s="22">
        <v>2</v>
      </c>
      <c r="D17" s="22">
        <v>4</v>
      </c>
      <c r="E17" s="23">
        <f t="shared" si="2"/>
        <v>0.07407407407407407</v>
      </c>
      <c r="F17" s="23">
        <f t="shared" si="0"/>
        <v>0.02030075187969925</v>
      </c>
      <c r="G17" s="24">
        <f t="shared" si="3"/>
        <v>1.6037593984962408</v>
      </c>
      <c r="H17" s="30">
        <f t="shared" si="4"/>
        <v>2</v>
      </c>
      <c r="I17" s="18">
        <f t="shared" si="1"/>
        <v>2</v>
      </c>
      <c r="J17" s="12">
        <f t="shared" si="5"/>
        <v>2</v>
      </c>
      <c r="K17" s="12">
        <v>2</v>
      </c>
      <c r="L17" s="17"/>
    </row>
    <row r="18" spans="1:12" s="37" customFormat="1" ht="19.5" customHeight="1">
      <c r="A18" s="3" t="s">
        <v>11</v>
      </c>
      <c r="B18" s="22">
        <f>VLOOKUP(A18,'[7]工作表1'!$A:$B,2,0)</f>
        <v>43</v>
      </c>
      <c r="C18" s="22">
        <v>1</v>
      </c>
      <c r="D18" s="22">
        <v>2</v>
      </c>
      <c r="E18" s="23">
        <f t="shared" si="2"/>
        <v>0.046511627906976744</v>
      </c>
      <c r="F18" s="23">
        <f t="shared" si="0"/>
        <v>0.016165413533834588</v>
      </c>
      <c r="G18" s="24">
        <f t="shared" si="3"/>
        <v>1.2770676691729324</v>
      </c>
      <c r="H18" s="30">
        <f t="shared" si="4"/>
        <v>1</v>
      </c>
      <c r="I18" s="18">
        <f t="shared" si="1"/>
        <v>2</v>
      </c>
      <c r="J18" s="12">
        <f t="shared" si="5"/>
        <v>1</v>
      </c>
      <c r="K18" s="12">
        <v>1</v>
      </c>
      <c r="L18" s="17"/>
    </row>
    <row r="19" spans="1:12" ht="19.5" customHeight="1">
      <c r="A19" s="58" t="s">
        <v>12</v>
      </c>
      <c r="B19" s="59">
        <f>VLOOKUP(A19,'[7]工作表1'!$A:$B,2,0)</f>
        <v>17</v>
      </c>
      <c r="C19" s="59">
        <v>0</v>
      </c>
      <c r="D19" s="59">
        <v>0</v>
      </c>
      <c r="E19" s="60">
        <f t="shared" si="2"/>
        <v>0</v>
      </c>
      <c r="F19" s="60">
        <f t="shared" si="0"/>
        <v>0.006390977443609023</v>
      </c>
      <c r="G19" s="61">
        <f t="shared" si="3"/>
        <v>0.5048872180451128</v>
      </c>
      <c r="H19" s="66">
        <f t="shared" si="4"/>
        <v>1</v>
      </c>
      <c r="I19" s="63">
        <f t="shared" si="1"/>
        <v>0</v>
      </c>
      <c r="J19" s="64">
        <f t="shared" si="5"/>
        <v>-1</v>
      </c>
      <c r="K19" s="65">
        <v>-1</v>
      </c>
      <c r="L19" s="17"/>
    </row>
    <row r="20" spans="1:12" ht="18.75" customHeight="1">
      <c r="A20" s="3" t="s">
        <v>32</v>
      </c>
      <c r="B20" s="22">
        <f>VLOOKUP(A20,'[7]工作表1'!$A:$B,2,0)</f>
        <v>25</v>
      </c>
      <c r="C20" s="22">
        <v>1</v>
      </c>
      <c r="D20" s="22">
        <v>1</v>
      </c>
      <c r="E20" s="23">
        <f t="shared" si="2"/>
        <v>0.04</v>
      </c>
      <c r="F20" s="23">
        <f t="shared" si="0"/>
        <v>0.009398496240601503</v>
      </c>
      <c r="G20" s="24">
        <f>F20*$G$3</f>
        <v>0.7424812030075187</v>
      </c>
      <c r="H20" s="30">
        <f t="shared" si="4"/>
        <v>1</v>
      </c>
      <c r="I20" s="18">
        <f t="shared" si="1"/>
        <v>1</v>
      </c>
      <c r="J20" s="12">
        <f t="shared" si="5"/>
        <v>0</v>
      </c>
      <c r="K20" s="12">
        <v>0</v>
      </c>
      <c r="L20" s="17"/>
    </row>
    <row r="21" spans="1:12" ht="19.5" customHeight="1">
      <c r="A21" s="3" t="s">
        <v>13</v>
      </c>
      <c r="B21" s="22">
        <f>VLOOKUP(A21,'[7]工作表1'!$A:$B,2,0)</f>
        <v>37</v>
      </c>
      <c r="C21" s="22">
        <v>2</v>
      </c>
      <c r="D21" s="22">
        <v>3</v>
      </c>
      <c r="E21" s="23">
        <f t="shared" si="2"/>
        <v>0.08108108108108109</v>
      </c>
      <c r="F21" s="23">
        <f t="shared" si="0"/>
        <v>0.013909774436090226</v>
      </c>
      <c r="G21" s="24">
        <f t="shared" si="3"/>
        <v>1.098872180451128</v>
      </c>
      <c r="H21" s="30">
        <f t="shared" si="4"/>
        <v>1</v>
      </c>
      <c r="I21" s="18">
        <f t="shared" si="1"/>
        <v>3</v>
      </c>
      <c r="J21" s="12">
        <f t="shared" si="5"/>
        <v>2</v>
      </c>
      <c r="K21" s="12">
        <v>2</v>
      </c>
      <c r="L21" s="17"/>
    </row>
    <row r="22" spans="1:12" s="8" customFormat="1" ht="19.5" customHeight="1">
      <c r="A22" s="58" t="s">
        <v>14</v>
      </c>
      <c r="B22" s="59">
        <f>VLOOKUP(A22,'[7]工作表1'!$A:$B,2,0)</f>
        <v>21</v>
      </c>
      <c r="C22" s="59">
        <v>0</v>
      </c>
      <c r="D22" s="59">
        <v>0</v>
      </c>
      <c r="E22" s="60">
        <f t="shared" si="2"/>
        <v>0</v>
      </c>
      <c r="F22" s="60">
        <f t="shared" si="0"/>
        <v>0.007894736842105263</v>
      </c>
      <c r="G22" s="61">
        <f>F22*$G$3</f>
        <v>0.6236842105263158</v>
      </c>
      <c r="H22" s="66">
        <f t="shared" si="4"/>
        <v>1</v>
      </c>
      <c r="I22" s="63">
        <f t="shared" si="1"/>
        <v>0</v>
      </c>
      <c r="J22" s="64">
        <f t="shared" si="5"/>
        <v>-1</v>
      </c>
      <c r="K22" s="65">
        <v>-0.5</v>
      </c>
      <c r="L22" s="17"/>
    </row>
    <row r="23" spans="1:12" ht="19.5" customHeight="1">
      <c r="A23" s="3" t="s">
        <v>15</v>
      </c>
      <c r="B23" s="22">
        <f>VLOOKUP(A23,'[7]工作表1'!$A:$B,2,0)</f>
        <v>24</v>
      </c>
      <c r="C23" s="22">
        <v>2</v>
      </c>
      <c r="D23" s="22">
        <v>3</v>
      </c>
      <c r="E23" s="23">
        <f t="shared" si="2"/>
        <v>0.125</v>
      </c>
      <c r="F23" s="23">
        <f t="shared" si="0"/>
        <v>0.009022556390977444</v>
      </c>
      <c r="G23" s="24">
        <f t="shared" si="3"/>
        <v>0.7127819548872181</v>
      </c>
      <c r="H23" s="30">
        <f t="shared" si="4"/>
        <v>1</v>
      </c>
      <c r="I23" s="18">
        <f t="shared" si="1"/>
        <v>3</v>
      </c>
      <c r="J23" s="12">
        <f t="shared" si="5"/>
        <v>2</v>
      </c>
      <c r="K23" s="12">
        <v>2</v>
      </c>
      <c r="L23" s="17"/>
    </row>
    <row r="24" spans="1:12" ht="19.5" customHeight="1">
      <c r="A24" s="3" t="s">
        <v>16</v>
      </c>
      <c r="B24" s="22">
        <f>VLOOKUP(A24,'[7]工作表1'!$A:$B,2,0)</f>
        <v>29</v>
      </c>
      <c r="C24" s="22">
        <v>6</v>
      </c>
      <c r="D24" s="22">
        <v>8</v>
      </c>
      <c r="E24" s="23">
        <f t="shared" si="2"/>
        <v>0.27586206896551724</v>
      </c>
      <c r="F24" s="23">
        <f t="shared" si="0"/>
        <v>0.010902255639097745</v>
      </c>
      <c r="G24" s="24">
        <f>F24*$G$3</f>
        <v>0.8612781954887219</v>
      </c>
      <c r="H24" s="30">
        <f t="shared" si="4"/>
        <v>1</v>
      </c>
      <c r="I24" s="18">
        <f t="shared" si="1"/>
        <v>8</v>
      </c>
      <c r="J24" s="12">
        <f t="shared" si="5"/>
        <v>7</v>
      </c>
      <c r="K24" s="12">
        <v>7</v>
      </c>
      <c r="L24" s="17"/>
    </row>
    <row r="25" spans="1:12" s="7" customFormat="1" ht="19.5" customHeight="1">
      <c r="A25" s="58" t="s">
        <v>25</v>
      </c>
      <c r="B25" s="59">
        <f>VLOOKUP(A25,'[7]工作表1'!$A:$B,2,0)</f>
        <v>31</v>
      </c>
      <c r="C25" s="59">
        <v>0</v>
      </c>
      <c r="D25" s="59">
        <v>0</v>
      </c>
      <c r="E25" s="60">
        <f t="shared" si="2"/>
        <v>0</v>
      </c>
      <c r="F25" s="60">
        <f t="shared" si="0"/>
        <v>0.011654135338345865</v>
      </c>
      <c r="G25" s="61">
        <f>F25*$G$3</f>
        <v>0.9206766917293233</v>
      </c>
      <c r="H25" s="62">
        <f t="shared" si="4"/>
        <v>1</v>
      </c>
      <c r="I25" s="63">
        <f t="shared" si="1"/>
        <v>0</v>
      </c>
      <c r="J25" s="64">
        <f t="shared" si="5"/>
        <v>-1</v>
      </c>
      <c r="K25" s="65">
        <v>-1</v>
      </c>
      <c r="L25" s="17"/>
    </row>
    <row r="26" spans="1:12" ht="19.5" customHeight="1">
      <c r="A26" s="67" t="s">
        <v>47</v>
      </c>
      <c r="B26" s="59">
        <f>VLOOKUP(A26,'[7]工作表1'!$A:$B,2,0)</f>
        <v>37</v>
      </c>
      <c r="C26" s="59">
        <v>0</v>
      </c>
      <c r="D26" s="59">
        <v>0</v>
      </c>
      <c r="E26" s="60">
        <f t="shared" si="2"/>
        <v>0</v>
      </c>
      <c r="F26" s="60">
        <f t="shared" si="0"/>
        <v>0.013909774436090226</v>
      </c>
      <c r="G26" s="61">
        <f aca="true" t="shared" si="6" ref="G26:G34">F26*$G$3</f>
        <v>1.098872180451128</v>
      </c>
      <c r="H26" s="66">
        <f t="shared" si="4"/>
        <v>1</v>
      </c>
      <c r="I26" s="63">
        <f t="shared" si="1"/>
        <v>0</v>
      </c>
      <c r="J26" s="64">
        <f t="shared" si="5"/>
        <v>-1</v>
      </c>
      <c r="K26" s="65">
        <v>-1</v>
      </c>
      <c r="L26" s="17"/>
    </row>
    <row r="27" spans="1:12" ht="19.5" customHeight="1">
      <c r="A27" s="3" t="s">
        <v>17</v>
      </c>
      <c r="B27" s="22">
        <f>VLOOKUP(A27,'[7]工作表1'!$A:$B,2,0)</f>
        <v>3</v>
      </c>
      <c r="C27" s="22">
        <v>0</v>
      </c>
      <c r="D27" s="22">
        <v>0</v>
      </c>
      <c r="E27" s="23">
        <f t="shared" si="2"/>
        <v>0</v>
      </c>
      <c r="F27" s="23">
        <f t="shared" si="0"/>
        <v>0.0011278195488721805</v>
      </c>
      <c r="G27" s="24">
        <f t="shared" si="6"/>
        <v>0.08909774436090226</v>
      </c>
      <c r="H27" s="30">
        <f t="shared" si="4"/>
        <v>0</v>
      </c>
      <c r="I27" s="18" t="s">
        <v>43</v>
      </c>
      <c r="J27" s="12">
        <f t="shared" si="5"/>
        <v>0</v>
      </c>
      <c r="K27" s="12">
        <v>0</v>
      </c>
      <c r="L27" s="17"/>
    </row>
    <row r="28" spans="1:12" ht="19.5" customHeight="1">
      <c r="A28" s="3" t="s">
        <v>18</v>
      </c>
      <c r="B28" s="22">
        <f>VLOOKUP(A28,'[7]工作表1'!$A:$B,2,0)</f>
        <v>1</v>
      </c>
      <c r="C28" s="22">
        <v>0</v>
      </c>
      <c r="D28" s="22">
        <v>0</v>
      </c>
      <c r="E28" s="23">
        <f t="shared" si="2"/>
        <v>0</v>
      </c>
      <c r="F28" s="23">
        <f t="shared" si="0"/>
        <v>0.00037593984962406017</v>
      </c>
      <c r="G28" s="24">
        <f t="shared" si="6"/>
        <v>0.029699248120300753</v>
      </c>
      <c r="H28" s="30">
        <f t="shared" si="4"/>
        <v>0</v>
      </c>
      <c r="I28" s="18" t="s">
        <v>43</v>
      </c>
      <c r="J28" s="12">
        <f t="shared" si="5"/>
        <v>0</v>
      </c>
      <c r="K28" s="12">
        <v>0</v>
      </c>
      <c r="L28" s="17"/>
    </row>
    <row r="29" spans="1:12" ht="19.5" customHeight="1">
      <c r="A29" s="34" t="s">
        <v>48</v>
      </c>
      <c r="B29" s="22">
        <f>VLOOKUP(A29,'[7]工作表1'!$A:$B,2,0)</f>
        <v>15</v>
      </c>
      <c r="C29" s="22">
        <v>0</v>
      </c>
      <c r="D29" s="22">
        <v>0</v>
      </c>
      <c r="E29" s="23">
        <f t="shared" si="2"/>
        <v>0</v>
      </c>
      <c r="F29" s="23">
        <f t="shared" si="0"/>
        <v>0.005639097744360902</v>
      </c>
      <c r="G29" s="24">
        <f>F29*$G$3</f>
        <v>0.44548872180451127</v>
      </c>
      <c r="H29" s="30">
        <f t="shared" si="4"/>
        <v>0</v>
      </c>
      <c r="I29" s="18" t="s">
        <v>43</v>
      </c>
      <c r="J29" s="12">
        <f t="shared" si="5"/>
        <v>0</v>
      </c>
      <c r="K29" s="12">
        <v>0</v>
      </c>
      <c r="L29" s="17"/>
    </row>
    <row r="30" spans="1:12" ht="16.5">
      <c r="A30" s="9" t="s">
        <v>38</v>
      </c>
      <c r="B30" s="22">
        <f>VLOOKUP(A30,'[7]工作表1'!$A:$B,2,0)</f>
        <v>5</v>
      </c>
      <c r="C30" s="22">
        <v>0</v>
      </c>
      <c r="D30" s="22">
        <v>0</v>
      </c>
      <c r="E30" s="23">
        <f t="shared" si="2"/>
        <v>0</v>
      </c>
      <c r="F30" s="23">
        <f t="shared" si="0"/>
        <v>0.0018796992481203006</v>
      </c>
      <c r="G30" s="24">
        <f t="shared" si="6"/>
        <v>0.14849624060150374</v>
      </c>
      <c r="H30" s="30">
        <f t="shared" si="4"/>
        <v>0</v>
      </c>
      <c r="I30" s="18" t="s">
        <v>43</v>
      </c>
      <c r="J30" s="12">
        <f t="shared" si="5"/>
        <v>0</v>
      </c>
      <c r="K30" s="12">
        <v>0</v>
      </c>
      <c r="L30" s="17"/>
    </row>
    <row r="31" spans="1:12" s="8" customFormat="1" ht="16.5">
      <c r="A31" s="58" t="s">
        <v>33</v>
      </c>
      <c r="B31" s="59">
        <f>VLOOKUP(A31,'[7]工作表1'!$A:$B,2,0)</f>
        <v>22</v>
      </c>
      <c r="C31" s="59">
        <v>0</v>
      </c>
      <c r="D31" s="59">
        <v>0</v>
      </c>
      <c r="E31" s="60">
        <f t="shared" si="2"/>
        <v>0</v>
      </c>
      <c r="F31" s="60">
        <f t="shared" si="0"/>
        <v>0.008270676691729323</v>
      </c>
      <c r="G31" s="61">
        <f>F31*$G$3</f>
        <v>0.6533834586466165</v>
      </c>
      <c r="H31" s="66">
        <f t="shared" si="4"/>
        <v>1</v>
      </c>
      <c r="I31" s="63">
        <f>D31/H31</f>
        <v>0</v>
      </c>
      <c r="J31" s="64">
        <f t="shared" si="5"/>
        <v>-1</v>
      </c>
      <c r="K31" s="65">
        <v>-1</v>
      </c>
      <c r="L31" s="17"/>
    </row>
    <row r="32" spans="1:12" s="8" customFormat="1" ht="16.5">
      <c r="A32" s="3" t="s">
        <v>37</v>
      </c>
      <c r="B32" s="22">
        <f>VLOOKUP(A32,'[7]工作表1'!$A:$B,2,0)</f>
        <v>29</v>
      </c>
      <c r="C32" s="33">
        <v>1</v>
      </c>
      <c r="D32" s="33">
        <v>1</v>
      </c>
      <c r="E32" s="69">
        <f t="shared" si="2"/>
        <v>0.034482758620689655</v>
      </c>
      <c r="F32" s="69">
        <f t="shared" si="0"/>
        <v>0.010902255639097745</v>
      </c>
      <c r="G32" s="70">
        <f t="shared" si="6"/>
        <v>0.8612781954887219</v>
      </c>
      <c r="H32" s="30">
        <f t="shared" si="4"/>
        <v>1</v>
      </c>
      <c r="I32" s="71">
        <f>D32/H32</f>
        <v>1</v>
      </c>
      <c r="J32" s="21">
        <f t="shared" si="5"/>
        <v>0</v>
      </c>
      <c r="K32" s="12">
        <v>0</v>
      </c>
      <c r="L32" s="17"/>
    </row>
    <row r="33" spans="1:12" ht="16.5">
      <c r="A33" s="58" t="s">
        <v>40</v>
      </c>
      <c r="B33" s="59">
        <f>VLOOKUP(A33,'[7]工作表1'!$A:$B,2,0)</f>
        <v>135</v>
      </c>
      <c r="C33" s="68">
        <v>2</v>
      </c>
      <c r="D33" s="68">
        <v>2</v>
      </c>
      <c r="E33" s="60">
        <f t="shared" si="2"/>
        <v>0.014814814814814815</v>
      </c>
      <c r="F33" s="60">
        <f t="shared" si="0"/>
        <v>0.05075187969924812</v>
      </c>
      <c r="G33" s="61">
        <f>F33*$G$3</f>
        <v>4.0093984962406015</v>
      </c>
      <c r="H33" s="66">
        <f t="shared" si="4"/>
        <v>4</v>
      </c>
      <c r="I33" s="63">
        <f>D33/H33</f>
        <v>0.5</v>
      </c>
      <c r="J33" s="64">
        <f t="shared" si="5"/>
        <v>-2</v>
      </c>
      <c r="K33" s="65">
        <v>-2</v>
      </c>
      <c r="L33" s="17"/>
    </row>
    <row r="34" spans="1:12" ht="16.5">
      <c r="A34" s="3" t="s">
        <v>39</v>
      </c>
      <c r="B34" s="22">
        <v>66</v>
      </c>
      <c r="C34" s="33">
        <v>2</v>
      </c>
      <c r="D34" s="33">
        <v>4</v>
      </c>
      <c r="E34" s="23">
        <f t="shared" si="2"/>
        <v>0.06060606060606061</v>
      </c>
      <c r="F34" s="23">
        <f t="shared" si="0"/>
        <v>0.02481203007518797</v>
      </c>
      <c r="G34" s="24">
        <f t="shared" si="6"/>
        <v>1.9601503759398495</v>
      </c>
      <c r="H34" s="30">
        <f>ROUND(G34,0)</f>
        <v>2</v>
      </c>
      <c r="I34" s="18">
        <f>D34/H34</f>
        <v>2</v>
      </c>
      <c r="J34" s="21">
        <f t="shared" si="5"/>
        <v>2</v>
      </c>
      <c r="K34" s="12">
        <v>2</v>
      </c>
      <c r="L34" s="17"/>
    </row>
    <row r="35" spans="1:12" s="37" customFormat="1" ht="33" customHeight="1">
      <c r="A35" s="44" t="s">
        <v>19</v>
      </c>
      <c r="B35" s="75" t="s">
        <v>84</v>
      </c>
      <c r="C35" s="76"/>
      <c r="D35" s="76"/>
      <c r="E35" s="76"/>
      <c r="F35" s="76"/>
      <c r="G35" s="76"/>
      <c r="H35" s="76"/>
      <c r="I35" s="76"/>
      <c r="J35" s="76"/>
      <c r="K35" s="77"/>
      <c r="L35" s="45"/>
    </row>
    <row r="36" spans="1:12" ht="17.25" customHeight="1">
      <c r="A36" s="3" t="s">
        <v>29</v>
      </c>
      <c r="B36" s="33">
        <f>SUM(B4:B34)</f>
        <v>2660</v>
      </c>
      <c r="C36" s="33">
        <f>SUM(C4:C34)</f>
        <v>73.5</v>
      </c>
      <c r="D36" s="33">
        <f>SUM(D4:D34)</f>
        <v>89.5</v>
      </c>
      <c r="E36" s="4"/>
      <c r="F36" s="4"/>
      <c r="G36" s="46"/>
      <c r="H36" s="5"/>
      <c r="I36" s="20"/>
      <c r="J36" s="14"/>
      <c r="K36" s="47"/>
      <c r="L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2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54"/>
    </row>
    <row r="42" spans="1:7" ht="16.5">
      <c r="A42" s="80" t="s">
        <v>83</v>
      </c>
      <c r="B42" s="80"/>
      <c r="C42" s="80"/>
      <c r="D42" s="80"/>
      <c r="E42" s="80"/>
      <c r="F42" s="80"/>
      <c r="G42" s="80"/>
    </row>
  </sheetData>
  <sheetProtection/>
  <mergeCells count="14"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K2:K3"/>
    <mergeCell ref="B35:K35"/>
    <mergeCell ref="A41:K41"/>
    <mergeCell ref="A42:G42"/>
  </mergeCells>
  <printOptions/>
  <pageMargins left="0.5118110236220472" right="0.3937007874015748" top="0.984251968503937" bottom="0.984251968503937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5" sqref="B15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9.625" style="50" customWidth="1"/>
    <col min="10" max="10" width="9.625" style="51" customWidth="1"/>
    <col min="11" max="12" width="9.625" style="42" customWidth="1"/>
    <col min="13" max="16384" width="9.00390625" style="1" customWidth="1"/>
  </cols>
  <sheetData>
    <row r="1" spans="1:13" ht="2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/>
      <c r="M1" s="39"/>
    </row>
    <row r="2" spans="1:12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23</v>
      </c>
      <c r="H2" s="90" t="s">
        <v>23</v>
      </c>
      <c r="I2" s="92" t="s">
        <v>76</v>
      </c>
      <c r="J2" s="73" t="s">
        <v>77</v>
      </c>
      <c r="K2" s="73" t="s">
        <v>72</v>
      </c>
      <c r="L2" s="41"/>
    </row>
    <row r="3" spans="1:12" s="42" customFormat="1" ht="68.25" customHeight="1">
      <c r="A3" s="82"/>
      <c r="B3" s="84"/>
      <c r="C3" s="84"/>
      <c r="D3" s="86"/>
      <c r="E3" s="87"/>
      <c r="F3" s="89"/>
      <c r="G3" s="15">
        <v>78</v>
      </c>
      <c r="H3" s="91"/>
      <c r="I3" s="93"/>
      <c r="J3" s="74"/>
      <c r="K3" s="74"/>
      <c r="L3" s="43"/>
    </row>
    <row r="4" spans="1:12" s="8" customFormat="1" ht="19.5" customHeight="1">
      <c r="A4" s="3" t="s">
        <v>2</v>
      </c>
      <c r="B4" s="22">
        <f>VLOOKUP(A4,'[6]單位人數分析'!$A:$B,2,0)-1</f>
        <v>198</v>
      </c>
      <c r="C4" s="22">
        <v>5</v>
      </c>
      <c r="D4" s="22">
        <v>7</v>
      </c>
      <c r="E4" s="23">
        <f>D4/B4</f>
        <v>0.03535353535353535</v>
      </c>
      <c r="F4" s="23">
        <f aca="true" t="shared" si="0" ref="F4:F34">B4/$B$36</f>
        <v>0.0759639363130635</v>
      </c>
      <c r="G4" s="24">
        <f>F4*$G$3</f>
        <v>5.925187032418953</v>
      </c>
      <c r="H4" s="25">
        <f>ROUND(G4,0)</f>
        <v>6</v>
      </c>
      <c r="I4" s="18">
        <f aca="true" t="shared" si="1" ref="I4:I26">D4/H4</f>
        <v>1.1666666666666667</v>
      </c>
      <c r="J4" s="21">
        <f>D4-H4</f>
        <v>1</v>
      </c>
      <c r="K4" s="12">
        <v>-1</v>
      </c>
      <c r="L4" s="17"/>
    </row>
    <row r="5" spans="1:12" s="8" customFormat="1" ht="19.5" customHeight="1">
      <c r="A5" s="58" t="s">
        <v>3</v>
      </c>
      <c r="B5" s="22">
        <f>VLOOKUP(A5,'[6]單位人數分析'!$A:$B,2,0)-3.5</f>
        <v>620.5</v>
      </c>
      <c r="C5" s="59">
        <v>15.5</v>
      </c>
      <c r="D5" s="59">
        <v>16.5</v>
      </c>
      <c r="E5" s="60">
        <f aca="true" t="shared" si="2" ref="E5:E34">D5/B5</f>
        <v>0.0265914585012087</v>
      </c>
      <c r="F5" s="60">
        <f t="shared" si="0"/>
        <v>0.23805869940533284</v>
      </c>
      <c r="G5" s="61">
        <f aca="true" t="shared" si="3" ref="G5:G23">F5*$G$3</f>
        <v>18.56857855361596</v>
      </c>
      <c r="H5" s="62">
        <f aca="true" t="shared" si="4" ref="H5:H33">ROUND(G5,0)</f>
        <v>19</v>
      </c>
      <c r="I5" s="63">
        <f t="shared" si="1"/>
        <v>0.868421052631579</v>
      </c>
      <c r="J5" s="64">
        <f aca="true" t="shared" si="5" ref="J5:J34">D5-H5</f>
        <v>-2.5</v>
      </c>
      <c r="K5" s="65">
        <v>-1.5</v>
      </c>
      <c r="L5" s="17"/>
    </row>
    <row r="6" spans="1:12" s="36" customFormat="1" ht="19.5" customHeight="1">
      <c r="A6" s="3" t="s">
        <v>4</v>
      </c>
      <c r="B6" s="22">
        <f>VLOOKUP(A6,'[6]單位人數分析'!$A:$B,2,0)-1.5</f>
        <v>149.5</v>
      </c>
      <c r="C6" s="22">
        <v>4.5</v>
      </c>
      <c r="D6" s="22">
        <v>4.5</v>
      </c>
      <c r="E6" s="23">
        <f t="shared" si="2"/>
        <v>0.030100334448160536</v>
      </c>
      <c r="F6" s="23">
        <f t="shared" si="0"/>
        <v>0.057356608478802994</v>
      </c>
      <c r="G6" s="24">
        <f t="shared" si="3"/>
        <v>4.473815461346634</v>
      </c>
      <c r="H6" s="25">
        <f t="shared" si="4"/>
        <v>4</v>
      </c>
      <c r="I6" s="18">
        <f t="shared" si="1"/>
        <v>1.125</v>
      </c>
      <c r="J6" s="21">
        <f t="shared" si="5"/>
        <v>0.5</v>
      </c>
      <c r="K6" s="12">
        <v>0.5</v>
      </c>
      <c r="L6" s="17"/>
    </row>
    <row r="7" spans="1:12" s="7" customFormat="1" ht="19.5" customHeight="1">
      <c r="A7" s="58" t="s">
        <v>5</v>
      </c>
      <c r="B7" s="22">
        <f>VLOOKUP(A7,'[6]單位人數分析'!$A:$B,2,0)-1.5</f>
        <v>233.5</v>
      </c>
      <c r="C7" s="59">
        <v>5.5</v>
      </c>
      <c r="D7" s="59">
        <v>6.5</v>
      </c>
      <c r="E7" s="60">
        <f t="shared" si="2"/>
        <v>0.027837259100642397</v>
      </c>
      <c r="F7" s="60">
        <f t="shared" si="0"/>
        <v>0.08958373297525417</v>
      </c>
      <c r="G7" s="61">
        <f t="shared" si="3"/>
        <v>6.987531172069825</v>
      </c>
      <c r="H7" s="62">
        <f t="shared" si="4"/>
        <v>7</v>
      </c>
      <c r="I7" s="63">
        <f t="shared" si="1"/>
        <v>0.9285714285714286</v>
      </c>
      <c r="J7" s="64">
        <f t="shared" si="5"/>
        <v>-0.5</v>
      </c>
      <c r="K7" s="65">
        <v>-0.5</v>
      </c>
      <c r="L7" s="17"/>
    </row>
    <row r="8" spans="1:12" ht="19.5" customHeight="1">
      <c r="A8" s="3" t="s">
        <v>6</v>
      </c>
      <c r="B8" s="22">
        <f>VLOOKUP(A8,'[6]單位人數分析'!$A:$B,2,0)</f>
        <v>135</v>
      </c>
      <c r="C8" s="22">
        <v>4</v>
      </c>
      <c r="D8" s="22">
        <v>4</v>
      </c>
      <c r="E8" s="23">
        <f t="shared" si="2"/>
        <v>0.02962962962962963</v>
      </c>
      <c r="F8" s="23">
        <f t="shared" si="0"/>
        <v>0.05179359294072511</v>
      </c>
      <c r="G8" s="24">
        <f>F8*$G$3</f>
        <v>4.039900249376559</v>
      </c>
      <c r="H8" s="25">
        <f t="shared" si="4"/>
        <v>4</v>
      </c>
      <c r="I8" s="18">
        <f t="shared" si="1"/>
        <v>1</v>
      </c>
      <c r="J8" s="12">
        <f t="shared" si="5"/>
        <v>0</v>
      </c>
      <c r="K8" s="12">
        <v>0</v>
      </c>
      <c r="L8" s="17"/>
    </row>
    <row r="9" spans="1:12" ht="19.5" customHeight="1">
      <c r="A9" s="58" t="s">
        <v>7</v>
      </c>
      <c r="B9" s="22">
        <f>VLOOKUP(A9,'[6]單位人數分析'!$A:$B,2,0)</f>
        <v>160</v>
      </c>
      <c r="C9" s="59">
        <v>3</v>
      </c>
      <c r="D9" s="59">
        <v>3</v>
      </c>
      <c r="E9" s="60">
        <f t="shared" si="2"/>
        <v>0.01875</v>
      </c>
      <c r="F9" s="60">
        <f t="shared" si="0"/>
        <v>0.06138499904085939</v>
      </c>
      <c r="G9" s="61">
        <f t="shared" si="3"/>
        <v>4.788029925187033</v>
      </c>
      <c r="H9" s="62">
        <f t="shared" si="4"/>
        <v>5</v>
      </c>
      <c r="I9" s="63">
        <f t="shared" si="1"/>
        <v>0.6</v>
      </c>
      <c r="J9" s="64">
        <f t="shared" si="5"/>
        <v>-2</v>
      </c>
      <c r="K9" s="65">
        <v>-1</v>
      </c>
      <c r="L9" s="17"/>
    </row>
    <row r="10" spans="1:12" ht="19.5" customHeight="1">
      <c r="A10" s="3" t="s">
        <v>26</v>
      </c>
      <c r="B10" s="22">
        <f>VLOOKUP(A10,'[6]單位人數分析'!$A:$B,2,0)</f>
        <v>154</v>
      </c>
      <c r="C10" s="22">
        <v>4</v>
      </c>
      <c r="D10" s="22">
        <v>5</v>
      </c>
      <c r="E10" s="23">
        <f t="shared" si="2"/>
        <v>0.032467532467532464</v>
      </c>
      <c r="F10" s="23">
        <f t="shared" si="0"/>
        <v>0.05908306157682716</v>
      </c>
      <c r="G10" s="24">
        <f>F10*$G$3</f>
        <v>4.6084788029925186</v>
      </c>
      <c r="H10" s="25">
        <f t="shared" si="4"/>
        <v>5</v>
      </c>
      <c r="I10" s="18">
        <f t="shared" si="1"/>
        <v>1</v>
      </c>
      <c r="J10" s="21">
        <f t="shared" si="5"/>
        <v>0</v>
      </c>
      <c r="K10" s="12">
        <v>0</v>
      </c>
      <c r="L10" s="17"/>
    </row>
    <row r="11" spans="1:12" s="6" customFormat="1" ht="19.5" customHeight="1">
      <c r="A11" s="3" t="s">
        <v>28</v>
      </c>
      <c r="B11" s="22">
        <f>VLOOKUP(A11,'[6]單位人數分析'!$A:$B,2,0)</f>
        <v>50</v>
      </c>
      <c r="C11" s="22">
        <v>1</v>
      </c>
      <c r="D11" s="22">
        <v>1</v>
      </c>
      <c r="E11" s="23">
        <f t="shared" si="2"/>
        <v>0.02</v>
      </c>
      <c r="F11" s="23">
        <f t="shared" si="0"/>
        <v>0.01918281220026856</v>
      </c>
      <c r="G11" s="24">
        <f t="shared" si="3"/>
        <v>1.4962593516209477</v>
      </c>
      <c r="H11" s="25">
        <f t="shared" si="4"/>
        <v>1</v>
      </c>
      <c r="I11" s="18">
        <f t="shared" si="1"/>
        <v>1</v>
      </c>
      <c r="J11" s="21">
        <f t="shared" si="5"/>
        <v>0</v>
      </c>
      <c r="K11" s="12">
        <v>-1</v>
      </c>
      <c r="L11" s="17"/>
    </row>
    <row r="12" spans="1:12" s="6" customFormat="1" ht="19.5" customHeight="1">
      <c r="A12" s="3" t="s">
        <v>34</v>
      </c>
      <c r="B12" s="22">
        <f>VLOOKUP(A12,'[6]單位人數分析'!$A:$B,2,0)</f>
        <v>93</v>
      </c>
      <c r="C12" s="22">
        <v>3</v>
      </c>
      <c r="D12" s="22">
        <v>4</v>
      </c>
      <c r="E12" s="23">
        <f t="shared" si="2"/>
        <v>0.043010752688172046</v>
      </c>
      <c r="F12" s="23">
        <f t="shared" si="0"/>
        <v>0.03568003069249952</v>
      </c>
      <c r="G12" s="24">
        <f>F12*$G$3</f>
        <v>2.7830423940149625</v>
      </c>
      <c r="H12" s="25">
        <f t="shared" si="4"/>
        <v>3</v>
      </c>
      <c r="I12" s="18">
        <f t="shared" si="1"/>
        <v>1.3333333333333333</v>
      </c>
      <c r="J12" s="12">
        <f t="shared" si="5"/>
        <v>1</v>
      </c>
      <c r="K12" s="12">
        <v>1</v>
      </c>
      <c r="L12" s="17"/>
    </row>
    <row r="13" spans="1:12" s="36" customFormat="1" ht="19.5" customHeight="1">
      <c r="A13" s="58" t="s">
        <v>8</v>
      </c>
      <c r="B13" s="22">
        <f>VLOOKUP(A13,'[6]單位人數分析'!$A:$B,2,0)</f>
        <v>33</v>
      </c>
      <c r="C13" s="59">
        <v>0</v>
      </c>
      <c r="D13" s="59">
        <v>0</v>
      </c>
      <c r="E13" s="60">
        <f t="shared" si="2"/>
        <v>0</v>
      </c>
      <c r="F13" s="60">
        <f t="shared" si="0"/>
        <v>0.01266065605217725</v>
      </c>
      <c r="G13" s="61">
        <f t="shared" si="3"/>
        <v>0.9875311720698254</v>
      </c>
      <c r="H13" s="62">
        <f t="shared" si="4"/>
        <v>1</v>
      </c>
      <c r="I13" s="63">
        <f t="shared" si="1"/>
        <v>0</v>
      </c>
      <c r="J13" s="64">
        <f t="shared" si="5"/>
        <v>-1</v>
      </c>
      <c r="K13" s="65">
        <v>0</v>
      </c>
      <c r="L13" s="17"/>
    </row>
    <row r="14" spans="1:12" ht="19.5" customHeight="1">
      <c r="A14" s="9" t="s">
        <v>36</v>
      </c>
      <c r="B14" s="22">
        <f>VLOOKUP(A14,'[6]單位人數分析'!$A:$B,2,0)</f>
        <v>4</v>
      </c>
      <c r="C14" s="22">
        <v>0</v>
      </c>
      <c r="D14" s="22">
        <v>0</v>
      </c>
      <c r="E14" s="23">
        <f t="shared" si="2"/>
        <v>0</v>
      </c>
      <c r="F14" s="23">
        <f t="shared" si="0"/>
        <v>0.0015346249760214848</v>
      </c>
      <c r="G14" s="24">
        <f t="shared" si="3"/>
        <v>0.11970074812967582</v>
      </c>
      <c r="H14" s="30">
        <f t="shared" si="4"/>
        <v>0</v>
      </c>
      <c r="I14" s="18" t="s">
        <v>43</v>
      </c>
      <c r="J14" s="12">
        <f t="shared" si="5"/>
        <v>0</v>
      </c>
      <c r="K14" s="12">
        <v>0</v>
      </c>
      <c r="L14" s="17"/>
    </row>
    <row r="15" spans="1:12" s="37" customFormat="1" ht="19.5" customHeight="1">
      <c r="A15" s="58" t="s">
        <v>9</v>
      </c>
      <c r="B15" s="22">
        <f>VLOOKUP(A15,'[6]單位人數分析'!$A:$B,2,0)-1.5</f>
        <v>100.5</v>
      </c>
      <c r="C15" s="59">
        <v>2.5</v>
      </c>
      <c r="D15" s="59">
        <v>2.5</v>
      </c>
      <c r="E15" s="60">
        <f t="shared" si="2"/>
        <v>0.024875621890547265</v>
      </c>
      <c r="F15" s="60">
        <f t="shared" si="0"/>
        <v>0.0385574525225398</v>
      </c>
      <c r="G15" s="61">
        <f t="shared" si="3"/>
        <v>3.0074812967581046</v>
      </c>
      <c r="H15" s="66">
        <f t="shared" si="4"/>
        <v>3</v>
      </c>
      <c r="I15" s="63">
        <f t="shared" si="1"/>
        <v>0.8333333333333334</v>
      </c>
      <c r="J15" s="64">
        <f t="shared" si="5"/>
        <v>-0.5</v>
      </c>
      <c r="K15" s="65">
        <v>-0.5</v>
      </c>
      <c r="L15" s="17"/>
    </row>
    <row r="16" spans="1:12" ht="19.5" customHeight="1">
      <c r="A16" s="3" t="s">
        <v>42</v>
      </c>
      <c r="B16" s="22">
        <f>VLOOKUP(A16,'[6]單位人數分析'!$A:$B,2,0)</f>
        <v>79</v>
      </c>
      <c r="C16" s="22">
        <v>4</v>
      </c>
      <c r="D16" s="22">
        <v>5</v>
      </c>
      <c r="E16" s="23">
        <f t="shared" si="2"/>
        <v>0.06329113924050633</v>
      </c>
      <c r="F16" s="23">
        <f t="shared" si="0"/>
        <v>0.030308843276424323</v>
      </c>
      <c r="G16" s="24">
        <f>F16*$G$3</f>
        <v>2.364089775561097</v>
      </c>
      <c r="H16" s="30">
        <f t="shared" si="4"/>
        <v>2</v>
      </c>
      <c r="I16" s="18">
        <f t="shared" si="1"/>
        <v>2.5</v>
      </c>
      <c r="J16" s="12">
        <f t="shared" si="5"/>
        <v>3</v>
      </c>
      <c r="K16" s="12">
        <v>3</v>
      </c>
      <c r="L16" s="17"/>
    </row>
    <row r="17" spans="1:12" ht="19.5" customHeight="1">
      <c r="A17" s="3" t="s">
        <v>10</v>
      </c>
      <c r="B17" s="22">
        <f>VLOOKUP(A17,'[6]單位人數分析'!$A:$B,2,0)</f>
        <v>53</v>
      </c>
      <c r="C17" s="22">
        <v>2</v>
      </c>
      <c r="D17" s="22">
        <v>4</v>
      </c>
      <c r="E17" s="23">
        <f t="shared" si="2"/>
        <v>0.07547169811320754</v>
      </c>
      <c r="F17" s="23">
        <f t="shared" si="0"/>
        <v>0.020333780932284672</v>
      </c>
      <c r="G17" s="24">
        <f t="shared" si="3"/>
        <v>1.5860349127182045</v>
      </c>
      <c r="H17" s="30">
        <f t="shared" si="4"/>
        <v>2</v>
      </c>
      <c r="I17" s="18">
        <f t="shared" si="1"/>
        <v>2</v>
      </c>
      <c r="J17" s="12">
        <f t="shared" si="5"/>
        <v>2</v>
      </c>
      <c r="K17" s="12">
        <v>2</v>
      </c>
      <c r="L17" s="17"/>
    </row>
    <row r="18" spans="1:12" s="37" customFormat="1" ht="19.5" customHeight="1">
      <c r="A18" s="3" t="s">
        <v>11</v>
      </c>
      <c r="B18" s="22">
        <f>VLOOKUP(A18,'[6]單位人數分析'!$A:$B,2,0)</f>
        <v>43</v>
      </c>
      <c r="C18" s="22">
        <v>1</v>
      </c>
      <c r="D18" s="22">
        <v>2</v>
      </c>
      <c r="E18" s="23">
        <f t="shared" si="2"/>
        <v>0.046511627906976744</v>
      </c>
      <c r="F18" s="23">
        <f t="shared" si="0"/>
        <v>0.016497218492230962</v>
      </c>
      <c r="G18" s="24">
        <f t="shared" si="3"/>
        <v>1.286783042394015</v>
      </c>
      <c r="H18" s="30">
        <f t="shared" si="4"/>
        <v>1</v>
      </c>
      <c r="I18" s="18">
        <f t="shared" si="1"/>
        <v>2</v>
      </c>
      <c r="J18" s="12">
        <f t="shared" si="5"/>
        <v>1</v>
      </c>
      <c r="K18" s="12">
        <v>1</v>
      </c>
      <c r="L18" s="17"/>
    </row>
    <row r="19" spans="1:12" ht="19.5" customHeight="1">
      <c r="A19" s="58" t="s">
        <v>12</v>
      </c>
      <c r="B19" s="22">
        <f>VLOOKUP(A19,'[6]單位人數分析'!$A:$B,2,0)</f>
        <v>17</v>
      </c>
      <c r="C19" s="59">
        <v>0</v>
      </c>
      <c r="D19" s="59">
        <v>0</v>
      </c>
      <c r="E19" s="60">
        <f t="shared" si="2"/>
        <v>0</v>
      </c>
      <c r="F19" s="60">
        <f t="shared" si="0"/>
        <v>0.00652215614809131</v>
      </c>
      <c r="G19" s="61">
        <f t="shared" si="3"/>
        <v>0.5087281795511223</v>
      </c>
      <c r="H19" s="66">
        <f t="shared" si="4"/>
        <v>1</v>
      </c>
      <c r="I19" s="63">
        <f t="shared" si="1"/>
        <v>0</v>
      </c>
      <c r="J19" s="64">
        <f t="shared" si="5"/>
        <v>-1</v>
      </c>
      <c r="K19" s="65">
        <v>-1</v>
      </c>
      <c r="L19" s="17"/>
    </row>
    <row r="20" spans="1:12" ht="18.75" customHeight="1">
      <c r="A20" s="3" t="s">
        <v>32</v>
      </c>
      <c r="B20" s="22">
        <f>VLOOKUP(A20,'[6]單位人數分析'!$A:$B,2,0)</f>
        <v>25</v>
      </c>
      <c r="C20" s="22">
        <v>1</v>
      </c>
      <c r="D20" s="22">
        <v>1</v>
      </c>
      <c r="E20" s="23">
        <f t="shared" si="2"/>
        <v>0.04</v>
      </c>
      <c r="F20" s="23">
        <f t="shared" si="0"/>
        <v>0.00959140610013428</v>
      </c>
      <c r="G20" s="24">
        <f>F20*$G$3</f>
        <v>0.7481296758104738</v>
      </c>
      <c r="H20" s="30">
        <f t="shared" si="4"/>
        <v>1</v>
      </c>
      <c r="I20" s="18">
        <f t="shared" si="1"/>
        <v>1</v>
      </c>
      <c r="J20" s="12">
        <f t="shared" si="5"/>
        <v>0</v>
      </c>
      <c r="K20" s="12">
        <v>0</v>
      </c>
      <c r="L20" s="17"/>
    </row>
    <row r="21" spans="1:12" ht="19.5" customHeight="1">
      <c r="A21" s="3" t="s">
        <v>13</v>
      </c>
      <c r="B21" s="22">
        <f>VLOOKUP(A21,'[6]單位人數分析'!$A:$B,2,0)</f>
        <v>37</v>
      </c>
      <c r="C21" s="22">
        <v>2</v>
      </c>
      <c r="D21" s="22">
        <v>3</v>
      </c>
      <c r="E21" s="23">
        <f t="shared" si="2"/>
        <v>0.08108108108108109</v>
      </c>
      <c r="F21" s="23">
        <f t="shared" si="0"/>
        <v>0.014195281028198734</v>
      </c>
      <c r="G21" s="24">
        <f t="shared" si="3"/>
        <v>1.1072319201995013</v>
      </c>
      <c r="H21" s="30">
        <f t="shared" si="4"/>
        <v>1</v>
      </c>
      <c r="I21" s="18">
        <f t="shared" si="1"/>
        <v>3</v>
      </c>
      <c r="J21" s="12">
        <f t="shared" si="5"/>
        <v>2</v>
      </c>
      <c r="K21" s="12">
        <v>2</v>
      </c>
      <c r="L21" s="17"/>
    </row>
    <row r="22" spans="1:12" s="8" customFormat="1" ht="19.5" customHeight="1">
      <c r="A22" s="58" t="s">
        <v>14</v>
      </c>
      <c r="B22" s="22">
        <f>VLOOKUP(A22,'[6]單位人數分析'!$A:$B,2,0)-0.5</f>
        <v>21.5</v>
      </c>
      <c r="C22" s="59">
        <v>0.5</v>
      </c>
      <c r="D22" s="59">
        <v>0.5</v>
      </c>
      <c r="E22" s="60">
        <f t="shared" si="2"/>
        <v>0.023255813953488372</v>
      </c>
      <c r="F22" s="60">
        <f t="shared" si="0"/>
        <v>0.008248609246115481</v>
      </c>
      <c r="G22" s="61">
        <f>F22*$G$3</f>
        <v>0.6433915211970075</v>
      </c>
      <c r="H22" s="66">
        <f t="shared" si="4"/>
        <v>1</v>
      </c>
      <c r="I22" s="63">
        <f t="shared" si="1"/>
        <v>0.5</v>
      </c>
      <c r="J22" s="64">
        <f t="shared" si="5"/>
        <v>-0.5</v>
      </c>
      <c r="K22" s="65">
        <v>-0.5</v>
      </c>
      <c r="L22" s="17"/>
    </row>
    <row r="23" spans="1:12" ht="19.5" customHeight="1">
      <c r="A23" s="3" t="s">
        <v>15</v>
      </c>
      <c r="B23" s="22">
        <f>VLOOKUP(A23,'[6]單位人數分析'!$A:$B,2,0)</f>
        <v>27</v>
      </c>
      <c r="C23" s="22">
        <v>2</v>
      </c>
      <c r="D23" s="22">
        <v>3</v>
      </c>
      <c r="E23" s="23">
        <f t="shared" si="2"/>
        <v>0.1111111111111111</v>
      </c>
      <c r="F23" s="23">
        <f t="shared" si="0"/>
        <v>0.010358718588145022</v>
      </c>
      <c r="G23" s="24">
        <f t="shared" si="3"/>
        <v>0.8079800498753117</v>
      </c>
      <c r="H23" s="30">
        <f t="shared" si="4"/>
        <v>1</v>
      </c>
      <c r="I23" s="18">
        <f t="shared" si="1"/>
        <v>3</v>
      </c>
      <c r="J23" s="12">
        <f t="shared" si="5"/>
        <v>2</v>
      </c>
      <c r="K23" s="12">
        <v>2</v>
      </c>
      <c r="L23" s="17"/>
    </row>
    <row r="24" spans="1:12" ht="19.5" customHeight="1">
      <c r="A24" s="3" t="s">
        <v>16</v>
      </c>
      <c r="B24" s="22">
        <f>VLOOKUP(A24,'[6]單位人數分析'!$A:$B,2,0)</f>
        <v>29</v>
      </c>
      <c r="C24" s="22">
        <v>6</v>
      </c>
      <c r="D24" s="22">
        <v>8</v>
      </c>
      <c r="E24" s="23">
        <f t="shared" si="2"/>
        <v>0.27586206896551724</v>
      </c>
      <c r="F24" s="23">
        <f t="shared" si="0"/>
        <v>0.011126031076155764</v>
      </c>
      <c r="G24" s="24">
        <f>F24*$G$3</f>
        <v>0.8678304239401495</v>
      </c>
      <c r="H24" s="30">
        <f t="shared" si="4"/>
        <v>1</v>
      </c>
      <c r="I24" s="18">
        <f t="shared" si="1"/>
        <v>8</v>
      </c>
      <c r="J24" s="12">
        <f t="shared" si="5"/>
        <v>7</v>
      </c>
      <c r="K24" s="12">
        <v>7</v>
      </c>
      <c r="L24" s="17"/>
    </row>
    <row r="25" spans="1:12" s="7" customFormat="1" ht="19.5" customHeight="1">
      <c r="A25" s="58" t="s">
        <v>25</v>
      </c>
      <c r="B25" s="22">
        <f>VLOOKUP(A25,'[6]單位人數分析'!$A:$B,2,0)</f>
        <v>31</v>
      </c>
      <c r="C25" s="59">
        <v>0</v>
      </c>
      <c r="D25" s="59">
        <v>0</v>
      </c>
      <c r="E25" s="60">
        <f t="shared" si="2"/>
        <v>0</v>
      </c>
      <c r="F25" s="60">
        <f t="shared" si="0"/>
        <v>0.011893343564166508</v>
      </c>
      <c r="G25" s="61">
        <f>F25*$G$3</f>
        <v>0.9276807980049876</v>
      </c>
      <c r="H25" s="62">
        <f t="shared" si="4"/>
        <v>1</v>
      </c>
      <c r="I25" s="63">
        <f t="shared" si="1"/>
        <v>0</v>
      </c>
      <c r="J25" s="64">
        <f t="shared" si="5"/>
        <v>-1</v>
      </c>
      <c r="K25" s="65">
        <v>-1</v>
      </c>
      <c r="L25" s="17"/>
    </row>
    <row r="26" spans="1:12" ht="19.5" customHeight="1">
      <c r="A26" s="67" t="s">
        <v>47</v>
      </c>
      <c r="B26" s="22">
        <f>VLOOKUP(A26,'[6]單位人數分析'!$A:$B,2,0)</f>
        <v>34</v>
      </c>
      <c r="C26" s="59">
        <v>0</v>
      </c>
      <c r="D26" s="59">
        <v>0</v>
      </c>
      <c r="E26" s="60">
        <f t="shared" si="2"/>
        <v>0</v>
      </c>
      <c r="F26" s="60">
        <f t="shared" si="0"/>
        <v>0.01304431229618262</v>
      </c>
      <c r="G26" s="61">
        <f aca="true" t="shared" si="6" ref="G26:G34">F26*$G$3</f>
        <v>1.0174563591022445</v>
      </c>
      <c r="H26" s="66">
        <f t="shared" si="4"/>
        <v>1</v>
      </c>
      <c r="I26" s="63">
        <f t="shared" si="1"/>
        <v>0</v>
      </c>
      <c r="J26" s="64">
        <f t="shared" si="5"/>
        <v>-1</v>
      </c>
      <c r="K26" s="65">
        <v>-1</v>
      </c>
      <c r="L26" s="17"/>
    </row>
    <row r="27" spans="1:12" ht="19.5" customHeight="1">
      <c r="A27" s="3" t="s">
        <v>17</v>
      </c>
      <c r="B27" s="22">
        <f>VLOOKUP(A27,'[6]單位人數分析'!$A:$B,2,0)</f>
        <v>3</v>
      </c>
      <c r="C27" s="22">
        <v>0</v>
      </c>
      <c r="D27" s="22">
        <v>0</v>
      </c>
      <c r="E27" s="23">
        <f t="shared" si="2"/>
        <v>0</v>
      </c>
      <c r="F27" s="23">
        <f t="shared" si="0"/>
        <v>0.0011509687320161136</v>
      </c>
      <c r="G27" s="24">
        <f t="shared" si="6"/>
        <v>0.08977556109725686</v>
      </c>
      <c r="H27" s="30">
        <f t="shared" si="4"/>
        <v>0</v>
      </c>
      <c r="I27" s="18" t="s">
        <v>43</v>
      </c>
      <c r="J27" s="12">
        <f t="shared" si="5"/>
        <v>0</v>
      </c>
      <c r="K27" s="12">
        <v>0</v>
      </c>
      <c r="L27" s="17"/>
    </row>
    <row r="28" spans="1:12" ht="19.5" customHeight="1">
      <c r="A28" s="3" t="s">
        <v>18</v>
      </c>
      <c r="B28" s="22">
        <f>VLOOKUP(A28,'[6]單位人數分析'!$A:$B,2,0)</f>
        <v>1</v>
      </c>
      <c r="C28" s="22">
        <v>0</v>
      </c>
      <c r="D28" s="22">
        <v>0</v>
      </c>
      <c r="E28" s="23">
        <f t="shared" si="2"/>
        <v>0</v>
      </c>
      <c r="F28" s="23">
        <f t="shared" si="0"/>
        <v>0.0003836562440053712</v>
      </c>
      <c r="G28" s="24">
        <f t="shared" si="6"/>
        <v>0.029925187032418955</v>
      </c>
      <c r="H28" s="30">
        <f t="shared" si="4"/>
        <v>0</v>
      </c>
      <c r="I28" s="18" t="s">
        <v>43</v>
      </c>
      <c r="J28" s="12">
        <f t="shared" si="5"/>
        <v>0</v>
      </c>
      <c r="K28" s="12">
        <v>0</v>
      </c>
      <c r="L28" s="17"/>
    </row>
    <row r="29" spans="1:12" ht="19.5" customHeight="1">
      <c r="A29" s="34" t="s">
        <v>48</v>
      </c>
      <c r="B29" s="22">
        <f>VLOOKUP(A29,'[6]單位人數分析'!$A:$B,2,0)</f>
        <v>15</v>
      </c>
      <c r="C29" s="22">
        <v>0</v>
      </c>
      <c r="D29" s="22">
        <v>0</v>
      </c>
      <c r="E29" s="23">
        <f t="shared" si="2"/>
        <v>0</v>
      </c>
      <c r="F29" s="23">
        <f t="shared" si="0"/>
        <v>0.005754843660080567</v>
      </c>
      <c r="G29" s="24">
        <f>F29*$G$3</f>
        <v>0.44887780548628425</v>
      </c>
      <c r="H29" s="30">
        <f t="shared" si="4"/>
        <v>0</v>
      </c>
      <c r="I29" s="18" t="s">
        <v>43</v>
      </c>
      <c r="J29" s="12">
        <f t="shared" si="5"/>
        <v>0</v>
      </c>
      <c r="K29" s="12">
        <v>0</v>
      </c>
      <c r="L29" s="17"/>
    </row>
    <row r="30" spans="1:12" ht="16.5">
      <c r="A30" s="9" t="s">
        <v>38</v>
      </c>
      <c r="B30" s="22">
        <f>VLOOKUP(A30,'[6]單位人數分析'!$A:$B,2,0)</f>
        <v>5</v>
      </c>
      <c r="C30" s="22">
        <v>0</v>
      </c>
      <c r="D30" s="22">
        <v>0</v>
      </c>
      <c r="E30" s="23">
        <f t="shared" si="2"/>
        <v>0</v>
      </c>
      <c r="F30" s="23">
        <f t="shared" si="0"/>
        <v>0.0019182812200268559</v>
      </c>
      <c r="G30" s="24">
        <f t="shared" si="6"/>
        <v>0.14962593516209477</v>
      </c>
      <c r="H30" s="30">
        <f t="shared" si="4"/>
        <v>0</v>
      </c>
      <c r="I30" s="18" t="s">
        <v>43</v>
      </c>
      <c r="J30" s="12">
        <f t="shared" si="5"/>
        <v>0</v>
      </c>
      <c r="K30" s="12">
        <v>0</v>
      </c>
      <c r="L30" s="17"/>
    </row>
    <row r="31" spans="1:12" s="8" customFormat="1" ht="16.5">
      <c r="A31" s="58" t="s">
        <v>33</v>
      </c>
      <c r="B31" s="22">
        <f>VLOOKUP(A31,'[6]單位人數分析'!$A:$B,2,0)</f>
        <v>24</v>
      </c>
      <c r="C31" s="59">
        <v>0</v>
      </c>
      <c r="D31" s="59">
        <v>0</v>
      </c>
      <c r="E31" s="60">
        <f t="shared" si="2"/>
        <v>0</v>
      </c>
      <c r="F31" s="60">
        <f t="shared" si="0"/>
        <v>0.009207749856128909</v>
      </c>
      <c r="G31" s="61">
        <f>F31*$G$3</f>
        <v>0.7182044887780549</v>
      </c>
      <c r="H31" s="66">
        <f t="shared" si="4"/>
        <v>1</v>
      </c>
      <c r="I31" s="63">
        <f>D31/H31</f>
        <v>0</v>
      </c>
      <c r="J31" s="64">
        <f t="shared" si="5"/>
        <v>-1</v>
      </c>
      <c r="K31" s="65">
        <v>-1</v>
      </c>
      <c r="L31" s="17"/>
    </row>
    <row r="32" spans="1:12" s="8" customFormat="1" ht="16.5">
      <c r="A32" s="3" t="s">
        <v>37</v>
      </c>
      <c r="B32" s="22">
        <f>VLOOKUP(A32,'[6]單位人數分析'!$A:$B,2,0)</f>
        <v>28</v>
      </c>
      <c r="C32" s="33">
        <v>1</v>
      </c>
      <c r="D32" s="33">
        <v>1</v>
      </c>
      <c r="E32" s="69">
        <f t="shared" si="2"/>
        <v>0.03571428571428571</v>
      </c>
      <c r="F32" s="69">
        <f t="shared" si="0"/>
        <v>0.010742374832150393</v>
      </c>
      <c r="G32" s="70">
        <f t="shared" si="6"/>
        <v>0.8379052369077307</v>
      </c>
      <c r="H32" s="30">
        <f t="shared" si="4"/>
        <v>1</v>
      </c>
      <c r="I32" s="71">
        <f>D32/H32</f>
        <v>1</v>
      </c>
      <c r="J32" s="21">
        <f t="shared" si="5"/>
        <v>0</v>
      </c>
      <c r="K32" s="21">
        <v>0</v>
      </c>
      <c r="L32" s="17"/>
    </row>
    <row r="33" spans="1:12" ht="16.5">
      <c r="A33" s="58" t="s">
        <v>40</v>
      </c>
      <c r="B33" s="22">
        <f>VLOOKUP(A33,'[6]單位人數分析'!$A:$B,2,0)</f>
        <v>136</v>
      </c>
      <c r="C33" s="68">
        <v>2</v>
      </c>
      <c r="D33" s="68">
        <v>2</v>
      </c>
      <c r="E33" s="60">
        <f t="shared" si="2"/>
        <v>0.014705882352941176</v>
      </c>
      <c r="F33" s="60">
        <f t="shared" si="0"/>
        <v>0.05217724918473048</v>
      </c>
      <c r="G33" s="61">
        <f>F33*$G$3</f>
        <v>4.069825436408978</v>
      </c>
      <c r="H33" s="66">
        <f t="shared" si="4"/>
        <v>4</v>
      </c>
      <c r="I33" s="63">
        <f>D33/H33</f>
        <v>0.5</v>
      </c>
      <c r="J33" s="64">
        <f t="shared" si="5"/>
        <v>-2</v>
      </c>
      <c r="K33" s="65">
        <v>-2</v>
      </c>
      <c r="L33" s="17"/>
    </row>
    <row r="34" spans="1:12" ht="16.5">
      <c r="A34" s="3" t="s">
        <v>39</v>
      </c>
      <c r="B34" s="22">
        <v>67</v>
      </c>
      <c r="C34" s="33">
        <v>2</v>
      </c>
      <c r="D34" s="33">
        <v>4</v>
      </c>
      <c r="E34" s="23">
        <f t="shared" si="2"/>
        <v>0.05970149253731343</v>
      </c>
      <c r="F34" s="23">
        <f t="shared" si="0"/>
        <v>0.02570496834835987</v>
      </c>
      <c r="G34" s="24">
        <f t="shared" si="6"/>
        <v>2.0049875311720697</v>
      </c>
      <c r="H34" s="30">
        <f>ROUND(G34,0)</f>
        <v>2</v>
      </c>
      <c r="I34" s="18">
        <f>D34/H34</f>
        <v>2</v>
      </c>
      <c r="J34" s="21">
        <f t="shared" si="5"/>
        <v>2</v>
      </c>
      <c r="K34" s="12">
        <v>1</v>
      </c>
      <c r="L34" s="17"/>
    </row>
    <row r="35" spans="1:12" s="37" customFormat="1" ht="33" customHeight="1">
      <c r="A35" s="44" t="s">
        <v>19</v>
      </c>
      <c r="B35" s="75" t="s">
        <v>78</v>
      </c>
      <c r="C35" s="76"/>
      <c r="D35" s="76"/>
      <c r="E35" s="76"/>
      <c r="F35" s="76"/>
      <c r="G35" s="76"/>
      <c r="H35" s="76"/>
      <c r="I35" s="76"/>
      <c r="J35" s="76"/>
      <c r="K35" s="77"/>
      <c r="L35" s="45"/>
    </row>
    <row r="36" spans="1:12" ht="17.25" customHeight="1">
      <c r="A36" s="3" t="s">
        <v>29</v>
      </c>
      <c r="B36" s="33">
        <f>SUM(B4:B34)</f>
        <v>2606.5</v>
      </c>
      <c r="C36" s="33">
        <f>SUM(C4:C34)</f>
        <v>71.5</v>
      </c>
      <c r="D36" s="33">
        <f>SUM(D4:D34)</f>
        <v>87.5</v>
      </c>
      <c r="E36" s="4"/>
      <c r="F36" s="4"/>
      <c r="G36" s="46"/>
      <c r="H36" s="5"/>
      <c r="I36" s="20"/>
      <c r="J36" s="14"/>
      <c r="K36" s="47"/>
      <c r="L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2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54"/>
    </row>
    <row r="42" spans="1:7" ht="16.5">
      <c r="A42" s="80" t="s">
        <v>79</v>
      </c>
      <c r="B42" s="80"/>
      <c r="C42" s="80"/>
      <c r="D42" s="80"/>
      <c r="E42" s="80"/>
      <c r="F42" s="80"/>
      <c r="G42" s="80"/>
    </row>
  </sheetData>
  <sheetProtection/>
  <mergeCells count="14">
    <mergeCell ref="K2:K3"/>
    <mergeCell ref="B35:K35"/>
    <mergeCell ref="A41:K41"/>
    <mergeCell ref="A42:G42"/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rintOptions/>
  <pageMargins left="0.5118110236220472" right="0.3937007874015748" top="0.984251968503937" bottom="0.984251968503937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C19" sqref="C19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9.625" style="50" customWidth="1"/>
    <col min="10" max="10" width="9.625" style="51" customWidth="1"/>
    <col min="11" max="12" width="9.625" style="42" customWidth="1"/>
    <col min="13" max="16384" width="9.00390625" style="1" customWidth="1"/>
  </cols>
  <sheetData>
    <row r="1" spans="1:13" ht="21">
      <c r="A1" s="81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/>
      <c r="M1" s="39"/>
    </row>
    <row r="2" spans="1:12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23</v>
      </c>
      <c r="H2" s="90" t="s">
        <v>23</v>
      </c>
      <c r="I2" s="92" t="s">
        <v>71</v>
      </c>
      <c r="J2" s="73" t="s">
        <v>72</v>
      </c>
      <c r="K2" s="73" t="s">
        <v>68</v>
      </c>
      <c r="L2" s="41"/>
    </row>
    <row r="3" spans="1:12" s="42" customFormat="1" ht="68.25" customHeight="1">
      <c r="A3" s="82"/>
      <c r="B3" s="84"/>
      <c r="C3" s="84"/>
      <c r="D3" s="86"/>
      <c r="E3" s="87"/>
      <c r="F3" s="89"/>
      <c r="G3" s="15">
        <v>75</v>
      </c>
      <c r="H3" s="91"/>
      <c r="I3" s="93"/>
      <c r="J3" s="74"/>
      <c r="K3" s="74"/>
      <c r="L3" s="43"/>
    </row>
    <row r="4" spans="1:12" s="8" customFormat="1" ht="19.5" customHeight="1">
      <c r="A4" s="58" t="s">
        <v>2</v>
      </c>
      <c r="B4" s="22">
        <f>VLOOKUP(A4,'[5]單位人數分析'!$A$5:$B$46,2,1)-2</f>
        <v>199</v>
      </c>
      <c r="C4" s="59">
        <v>4</v>
      </c>
      <c r="D4" s="59">
        <v>5</v>
      </c>
      <c r="E4" s="60">
        <f>D4/B4</f>
        <v>0.02512562814070352</v>
      </c>
      <c r="F4" s="60">
        <f aca="true" t="shared" si="0" ref="F4:F34">B4/$B$36</f>
        <v>0.07966373098478784</v>
      </c>
      <c r="G4" s="61">
        <f>F4*$G$3</f>
        <v>5.9747798238590875</v>
      </c>
      <c r="H4" s="62">
        <f>ROUND(G4,0)</f>
        <v>6</v>
      </c>
      <c r="I4" s="63">
        <f aca="true" t="shared" si="1" ref="I4:I26">D4/H4</f>
        <v>0.8333333333333334</v>
      </c>
      <c r="J4" s="64">
        <f>D4-H4</f>
        <v>-1</v>
      </c>
      <c r="K4" s="65">
        <v>1.5</v>
      </c>
      <c r="L4" s="17"/>
    </row>
    <row r="5" spans="1:12" s="8" customFormat="1" ht="19.5" customHeight="1">
      <c r="A5" s="58" t="s">
        <v>3</v>
      </c>
      <c r="B5" s="59">
        <f>VLOOKUP(A5,'[5]單位人數分析'!$A$5:$B$46,2,1)-2</f>
        <v>603</v>
      </c>
      <c r="C5" s="59">
        <v>15.5</v>
      </c>
      <c r="D5" s="59">
        <v>16.5</v>
      </c>
      <c r="E5" s="60">
        <f aca="true" t="shared" si="2" ref="E5:E34">D5/B5</f>
        <v>0.02736318407960199</v>
      </c>
      <c r="F5" s="60">
        <f t="shared" si="0"/>
        <v>0.24139311449159329</v>
      </c>
      <c r="G5" s="61">
        <f aca="true" t="shared" si="3" ref="G5:G23">F5*$G$3</f>
        <v>18.104483586869495</v>
      </c>
      <c r="H5" s="62">
        <f aca="true" t="shared" si="4" ref="H5:H33">ROUND(G5,0)</f>
        <v>18</v>
      </c>
      <c r="I5" s="63">
        <f t="shared" si="1"/>
        <v>0.9166666666666666</v>
      </c>
      <c r="J5" s="64">
        <f aca="true" t="shared" si="5" ref="J5:J34">D5-H5</f>
        <v>-1.5</v>
      </c>
      <c r="K5" s="65">
        <v>-6</v>
      </c>
      <c r="L5" s="17"/>
    </row>
    <row r="6" spans="1:12" s="36" customFormat="1" ht="19.5" customHeight="1">
      <c r="A6" s="3" t="s">
        <v>4</v>
      </c>
      <c r="B6" s="22">
        <f>VLOOKUP(A6,'[5]單位人數分析'!$A$5:$B$46,2,1)-1.5</f>
        <v>142.5</v>
      </c>
      <c r="C6" s="22">
        <v>4.5</v>
      </c>
      <c r="D6" s="22">
        <v>4.5</v>
      </c>
      <c r="E6" s="23">
        <f t="shared" si="2"/>
        <v>0.031578947368421054</v>
      </c>
      <c r="F6" s="23">
        <f t="shared" si="0"/>
        <v>0.05704563650920737</v>
      </c>
      <c r="G6" s="24">
        <f t="shared" si="3"/>
        <v>4.278422738190552</v>
      </c>
      <c r="H6" s="25">
        <f t="shared" si="4"/>
        <v>4</v>
      </c>
      <c r="I6" s="18">
        <f t="shared" si="1"/>
        <v>1.125</v>
      </c>
      <c r="J6" s="21">
        <f t="shared" si="5"/>
        <v>0.5</v>
      </c>
      <c r="K6" s="12">
        <v>-0.5</v>
      </c>
      <c r="L6" s="17"/>
    </row>
    <row r="7" spans="1:12" s="7" customFormat="1" ht="19.5" customHeight="1">
      <c r="A7" s="58" t="s">
        <v>5</v>
      </c>
      <c r="B7" s="59">
        <f>VLOOKUP(A7,'[5]單位人數分析'!$A$5:$B$46,2,1)-1.5</f>
        <v>218.5</v>
      </c>
      <c r="C7" s="59">
        <v>5.5</v>
      </c>
      <c r="D7" s="59">
        <v>6.5</v>
      </c>
      <c r="E7" s="60">
        <f t="shared" si="2"/>
        <v>0.029748283752860413</v>
      </c>
      <c r="F7" s="60">
        <f t="shared" si="0"/>
        <v>0.08746997598078463</v>
      </c>
      <c r="G7" s="61">
        <f t="shared" si="3"/>
        <v>6.560248198558847</v>
      </c>
      <c r="H7" s="62">
        <f t="shared" si="4"/>
        <v>7</v>
      </c>
      <c r="I7" s="63">
        <f t="shared" si="1"/>
        <v>0.9285714285714286</v>
      </c>
      <c r="J7" s="64">
        <f t="shared" si="5"/>
        <v>-0.5</v>
      </c>
      <c r="K7" s="65">
        <v>-1.5</v>
      </c>
      <c r="L7" s="17"/>
    </row>
    <row r="8" spans="1:12" ht="19.5" customHeight="1">
      <c r="A8" s="3" t="s">
        <v>6</v>
      </c>
      <c r="B8" s="22">
        <f>VLOOKUP(A8,'[5]單位人數分析'!$A$5:$B$46,2,1)</f>
        <v>128</v>
      </c>
      <c r="C8" s="22">
        <v>4</v>
      </c>
      <c r="D8" s="22">
        <v>4</v>
      </c>
      <c r="E8" s="23">
        <f t="shared" si="2"/>
        <v>0.03125</v>
      </c>
      <c r="F8" s="23">
        <f t="shared" si="0"/>
        <v>0.051240992794235385</v>
      </c>
      <c r="G8" s="24">
        <f>F8*$G$3</f>
        <v>3.843074459567654</v>
      </c>
      <c r="H8" s="25">
        <f t="shared" si="4"/>
        <v>4</v>
      </c>
      <c r="I8" s="18">
        <f t="shared" si="1"/>
        <v>1</v>
      </c>
      <c r="J8" s="12">
        <f t="shared" si="5"/>
        <v>0</v>
      </c>
      <c r="K8" s="12">
        <v>1</v>
      </c>
      <c r="L8" s="17"/>
    </row>
    <row r="9" spans="1:12" ht="19.5" customHeight="1">
      <c r="A9" s="58" t="s">
        <v>7</v>
      </c>
      <c r="B9" s="59">
        <f>VLOOKUP(A9,'[5]單位人數分析'!$A$5:$B$46,2,1)</f>
        <v>148</v>
      </c>
      <c r="C9" s="59">
        <v>3</v>
      </c>
      <c r="D9" s="59">
        <v>3</v>
      </c>
      <c r="E9" s="60">
        <f t="shared" si="2"/>
        <v>0.02027027027027027</v>
      </c>
      <c r="F9" s="60">
        <f t="shared" si="0"/>
        <v>0.059247397918334666</v>
      </c>
      <c r="G9" s="61">
        <f t="shared" si="3"/>
        <v>4.4435548438751</v>
      </c>
      <c r="H9" s="62">
        <f t="shared" si="4"/>
        <v>4</v>
      </c>
      <c r="I9" s="63">
        <f t="shared" si="1"/>
        <v>0.75</v>
      </c>
      <c r="J9" s="64">
        <f t="shared" si="5"/>
        <v>-1</v>
      </c>
      <c r="K9" s="65">
        <v>-2</v>
      </c>
      <c r="L9" s="17"/>
    </row>
    <row r="10" spans="1:12" ht="19.5" customHeight="1">
      <c r="A10" s="3" t="s">
        <v>26</v>
      </c>
      <c r="B10" s="22">
        <f>VLOOKUP(A10,'[5]單位人數分析'!$A$5:$B$46,2,1)</f>
        <v>154</v>
      </c>
      <c r="C10" s="22">
        <v>4</v>
      </c>
      <c r="D10" s="22">
        <v>5</v>
      </c>
      <c r="E10" s="23">
        <f t="shared" si="2"/>
        <v>0.032467532467532464</v>
      </c>
      <c r="F10" s="23">
        <f t="shared" si="0"/>
        <v>0.06164931945556445</v>
      </c>
      <c r="G10" s="24">
        <f>F10*$G$3</f>
        <v>4.623698959167333</v>
      </c>
      <c r="H10" s="25">
        <f t="shared" si="4"/>
        <v>5</v>
      </c>
      <c r="I10" s="18">
        <f t="shared" si="1"/>
        <v>1</v>
      </c>
      <c r="J10" s="21">
        <f t="shared" si="5"/>
        <v>0</v>
      </c>
      <c r="K10" s="12">
        <v>-1</v>
      </c>
      <c r="L10" s="17"/>
    </row>
    <row r="11" spans="1:12" s="6" customFormat="1" ht="19.5" customHeight="1">
      <c r="A11" s="3" t="s">
        <v>28</v>
      </c>
      <c r="B11" s="22">
        <f>VLOOKUP(A11,'[5]單位人數分析'!$A$5:$B$46,2,1)</f>
        <v>50</v>
      </c>
      <c r="C11" s="22">
        <v>1</v>
      </c>
      <c r="D11" s="22">
        <v>1</v>
      </c>
      <c r="E11" s="23">
        <f t="shared" si="2"/>
        <v>0.02</v>
      </c>
      <c r="F11" s="23">
        <f t="shared" si="0"/>
        <v>0.020016012810248198</v>
      </c>
      <c r="G11" s="24">
        <f t="shared" si="3"/>
        <v>1.5012009607686148</v>
      </c>
      <c r="H11" s="25">
        <f t="shared" si="4"/>
        <v>2</v>
      </c>
      <c r="I11" s="18">
        <f t="shared" si="1"/>
        <v>0.5</v>
      </c>
      <c r="J11" s="21">
        <f t="shared" si="5"/>
        <v>-1</v>
      </c>
      <c r="K11" s="12">
        <v>-1</v>
      </c>
      <c r="L11" s="17"/>
    </row>
    <row r="12" spans="1:12" s="6" customFormat="1" ht="19.5" customHeight="1">
      <c r="A12" s="3" t="s">
        <v>34</v>
      </c>
      <c r="B12" s="22">
        <f>VLOOKUP(A12,'[5]單位人數分析'!$A$5:$B$46,2,1)</f>
        <v>86</v>
      </c>
      <c r="C12" s="22">
        <v>3</v>
      </c>
      <c r="D12" s="22">
        <v>4</v>
      </c>
      <c r="E12" s="23">
        <f t="shared" si="2"/>
        <v>0.046511627906976744</v>
      </c>
      <c r="F12" s="23">
        <f t="shared" si="0"/>
        <v>0.0344275420336269</v>
      </c>
      <c r="G12" s="24">
        <f>F12*$G$3</f>
        <v>2.5820656525220174</v>
      </c>
      <c r="H12" s="25">
        <f t="shared" si="4"/>
        <v>3</v>
      </c>
      <c r="I12" s="18">
        <f t="shared" si="1"/>
        <v>1.3333333333333333</v>
      </c>
      <c r="J12" s="12">
        <f t="shared" si="5"/>
        <v>1</v>
      </c>
      <c r="K12" s="12">
        <v>1.5</v>
      </c>
      <c r="L12" s="17"/>
    </row>
    <row r="13" spans="1:12" s="36" customFormat="1" ht="19.5" customHeight="1">
      <c r="A13" s="3" t="s">
        <v>8</v>
      </c>
      <c r="B13" s="22">
        <f>VLOOKUP(A13,'[5]單位人數分析'!$A$5:$B$46,2,1)</f>
        <v>32</v>
      </c>
      <c r="C13" s="22">
        <v>1</v>
      </c>
      <c r="D13" s="22">
        <v>1</v>
      </c>
      <c r="E13" s="23">
        <f t="shared" si="2"/>
        <v>0.03125</v>
      </c>
      <c r="F13" s="23">
        <f t="shared" si="0"/>
        <v>0.012810248198558846</v>
      </c>
      <c r="G13" s="24">
        <f t="shared" si="3"/>
        <v>0.9607686148919135</v>
      </c>
      <c r="H13" s="25">
        <f t="shared" si="4"/>
        <v>1</v>
      </c>
      <c r="I13" s="18">
        <f t="shared" si="1"/>
        <v>1</v>
      </c>
      <c r="J13" s="21">
        <f t="shared" si="5"/>
        <v>0</v>
      </c>
      <c r="K13" s="12">
        <v>0</v>
      </c>
      <c r="L13" s="17"/>
    </row>
    <row r="14" spans="1:12" ht="19.5" customHeight="1">
      <c r="A14" s="9" t="s">
        <v>36</v>
      </c>
      <c r="B14" s="22">
        <f>VLOOKUP(A14,'[5]單位人數分析'!$A$5:$B$46,2,1)</f>
        <v>4</v>
      </c>
      <c r="C14" s="22">
        <v>0</v>
      </c>
      <c r="D14" s="22">
        <v>0</v>
      </c>
      <c r="E14" s="23">
        <f t="shared" si="2"/>
        <v>0</v>
      </c>
      <c r="F14" s="23">
        <f t="shared" si="0"/>
        <v>0.0016012810248198558</v>
      </c>
      <c r="G14" s="24">
        <f t="shared" si="3"/>
        <v>0.12009607686148918</v>
      </c>
      <c r="H14" s="30">
        <f t="shared" si="4"/>
        <v>0</v>
      </c>
      <c r="I14" s="18" t="s">
        <v>43</v>
      </c>
      <c r="J14" s="12">
        <f t="shared" si="5"/>
        <v>0</v>
      </c>
      <c r="K14" s="12">
        <v>0</v>
      </c>
      <c r="L14" s="17"/>
    </row>
    <row r="15" spans="1:12" s="37" customFormat="1" ht="19.5" customHeight="1">
      <c r="A15" s="58" t="s">
        <v>9</v>
      </c>
      <c r="B15" s="59">
        <f>VLOOKUP(A15,'[5]單位人數分析'!$A$5:$B$46,2,1)-1.5</f>
        <v>92.5</v>
      </c>
      <c r="C15" s="59">
        <v>2.5</v>
      </c>
      <c r="D15" s="59">
        <v>2.5</v>
      </c>
      <c r="E15" s="60">
        <f t="shared" si="2"/>
        <v>0.02702702702702703</v>
      </c>
      <c r="F15" s="60">
        <f t="shared" si="0"/>
        <v>0.037029623698959166</v>
      </c>
      <c r="G15" s="61">
        <f t="shared" si="3"/>
        <v>2.7772217774219374</v>
      </c>
      <c r="H15" s="66">
        <f t="shared" si="4"/>
        <v>3</v>
      </c>
      <c r="I15" s="63">
        <f t="shared" si="1"/>
        <v>0.8333333333333334</v>
      </c>
      <c r="J15" s="64">
        <f t="shared" si="5"/>
        <v>-0.5</v>
      </c>
      <c r="K15" s="65">
        <v>1</v>
      </c>
      <c r="L15" s="17"/>
    </row>
    <row r="16" spans="1:12" ht="19.5" customHeight="1">
      <c r="A16" s="3" t="s">
        <v>42</v>
      </c>
      <c r="B16" s="22">
        <f>VLOOKUP(A16,'[5]單位人數分析'!$A$5:$B$46,2,1)</f>
        <v>76</v>
      </c>
      <c r="C16" s="22">
        <v>4</v>
      </c>
      <c r="D16" s="22">
        <v>5</v>
      </c>
      <c r="E16" s="23">
        <f t="shared" si="2"/>
        <v>0.06578947368421052</v>
      </c>
      <c r="F16" s="23">
        <f t="shared" si="0"/>
        <v>0.03042433947157726</v>
      </c>
      <c r="G16" s="24">
        <f>F16*$G$3</f>
        <v>2.2818254603682946</v>
      </c>
      <c r="H16" s="30">
        <f t="shared" si="4"/>
        <v>2</v>
      </c>
      <c r="I16" s="18">
        <f t="shared" si="1"/>
        <v>2.5</v>
      </c>
      <c r="J16" s="12">
        <f t="shared" si="5"/>
        <v>3</v>
      </c>
      <c r="K16" s="12">
        <v>2</v>
      </c>
      <c r="L16" s="17"/>
    </row>
    <row r="17" spans="1:12" ht="19.5" customHeight="1">
      <c r="A17" s="3" t="s">
        <v>10</v>
      </c>
      <c r="B17" s="22">
        <f>VLOOKUP(A17,'[5]單位人數分析'!$A$5:$B$46,2,1)</f>
        <v>50</v>
      </c>
      <c r="C17" s="22">
        <v>2</v>
      </c>
      <c r="D17" s="22">
        <v>4</v>
      </c>
      <c r="E17" s="23">
        <f t="shared" si="2"/>
        <v>0.08</v>
      </c>
      <c r="F17" s="23">
        <f t="shared" si="0"/>
        <v>0.020016012810248198</v>
      </c>
      <c r="G17" s="24">
        <f t="shared" si="3"/>
        <v>1.5012009607686148</v>
      </c>
      <c r="H17" s="30">
        <f t="shared" si="4"/>
        <v>2</v>
      </c>
      <c r="I17" s="18">
        <f t="shared" si="1"/>
        <v>2</v>
      </c>
      <c r="J17" s="12">
        <f t="shared" si="5"/>
        <v>2</v>
      </c>
      <c r="K17" s="12">
        <v>3</v>
      </c>
      <c r="L17" s="17"/>
    </row>
    <row r="18" spans="1:12" s="37" customFormat="1" ht="19.5" customHeight="1">
      <c r="A18" s="3" t="s">
        <v>11</v>
      </c>
      <c r="B18" s="22">
        <f>VLOOKUP(A18,'[5]單位人數分析'!$A$5:$B$46,2,1)</f>
        <v>43</v>
      </c>
      <c r="C18" s="22">
        <v>1</v>
      </c>
      <c r="D18" s="22">
        <v>2</v>
      </c>
      <c r="E18" s="23">
        <f t="shared" si="2"/>
        <v>0.046511627906976744</v>
      </c>
      <c r="F18" s="23">
        <f t="shared" si="0"/>
        <v>0.01721377101681345</v>
      </c>
      <c r="G18" s="24">
        <f t="shared" si="3"/>
        <v>1.2910328262610087</v>
      </c>
      <c r="H18" s="30">
        <f t="shared" si="4"/>
        <v>1</v>
      </c>
      <c r="I18" s="18">
        <f t="shared" si="1"/>
        <v>2</v>
      </c>
      <c r="J18" s="12">
        <f t="shared" si="5"/>
        <v>1</v>
      </c>
      <c r="K18" s="12">
        <v>1</v>
      </c>
      <c r="L18" s="17"/>
    </row>
    <row r="19" spans="1:12" ht="19.5" customHeight="1">
      <c r="A19" s="58" t="s">
        <v>12</v>
      </c>
      <c r="B19" s="59">
        <f>VLOOKUP(A19,'[5]單位人數分析'!$A$5:$B$46,2,1)</f>
        <v>17</v>
      </c>
      <c r="C19" s="59">
        <v>0</v>
      </c>
      <c r="D19" s="59">
        <v>0</v>
      </c>
      <c r="E19" s="60">
        <f t="shared" si="2"/>
        <v>0</v>
      </c>
      <c r="F19" s="60">
        <f t="shared" si="0"/>
        <v>0.0068054443554843875</v>
      </c>
      <c r="G19" s="61">
        <f t="shared" si="3"/>
        <v>0.5104083266613291</v>
      </c>
      <c r="H19" s="66">
        <f t="shared" si="4"/>
        <v>1</v>
      </c>
      <c r="I19" s="63">
        <f t="shared" si="1"/>
        <v>0</v>
      </c>
      <c r="J19" s="64">
        <f t="shared" si="5"/>
        <v>-1</v>
      </c>
      <c r="K19" s="65">
        <v>-1</v>
      </c>
      <c r="L19" s="17"/>
    </row>
    <row r="20" spans="1:12" ht="18.75" customHeight="1">
      <c r="A20" s="3" t="s">
        <v>32</v>
      </c>
      <c r="B20" s="22">
        <f>VLOOKUP(A20,'[5]單位人數分析'!$A$5:$B$46,2,1)</f>
        <v>24</v>
      </c>
      <c r="C20" s="22">
        <v>1</v>
      </c>
      <c r="D20" s="22">
        <v>1</v>
      </c>
      <c r="E20" s="23">
        <f t="shared" si="2"/>
        <v>0.041666666666666664</v>
      </c>
      <c r="F20" s="23">
        <f t="shared" si="0"/>
        <v>0.009607686148919135</v>
      </c>
      <c r="G20" s="24">
        <f>F20*$G$3</f>
        <v>0.7205764611689351</v>
      </c>
      <c r="H20" s="30">
        <f t="shared" si="4"/>
        <v>1</v>
      </c>
      <c r="I20" s="18">
        <f t="shared" si="1"/>
        <v>1</v>
      </c>
      <c r="J20" s="12">
        <f t="shared" si="5"/>
        <v>0</v>
      </c>
      <c r="K20" s="12">
        <v>0</v>
      </c>
      <c r="L20" s="17"/>
    </row>
    <row r="21" spans="1:12" ht="19.5" customHeight="1">
      <c r="A21" s="3" t="s">
        <v>13</v>
      </c>
      <c r="B21" s="22">
        <f>VLOOKUP(A21,'[5]單位人數分析'!$A$5:$B$46,2,1)</f>
        <v>37</v>
      </c>
      <c r="C21" s="22">
        <v>2</v>
      </c>
      <c r="D21" s="22">
        <v>3</v>
      </c>
      <c r="E21" s="23">
        <f t="shared" si="2"/>
        <v>0.08108108108108109</v>
      </c>
      <c r="F21" s="23">
        <f t="shared" si="0"/>
        <v>0.014811849479583666</v>
      </c>
      <c r="G21" s="24">
        <f t="shared" si="3"/>
        <v>1.110888710968775</v>
      </c>
      <c r="H21" s="30">
        <f t="shared" si="4"/>
        <v>1</v>
      </c>
      <c r="I21" s="18">
        <f t="shared" si="1"/>
        <v>3</v>
      </c>
      <c r="J21" s="12">
        <f t="shared" si="5"/>
        <v>2</v>
      </c>
      <c r="K21" s="12">
        <v>2.5</v>
      </c>
      <c r="L21" s="17"/>
    </row>
    <row r="22" spans="1:12" s="8" customFormat="1" ht="19.5" customHeight="1">
      <c r="A22" s="58" t="s">
        <v>14</v>
      </c>
      <c r="B22" s="59">
        <f>VLOOKUP(A22,'[5]單位人數分析'!$A$5:$B$46,2,1)-0.5</f>
        <v>22.5</v>
      </c>
      <c r="C22" s="59">
        <v>0.5</v>
      </c>
      <c r="D22" s="59">
        <v>0.5</v>
      </c>
      <c r="E22" s="60">
        <f t="shared" si="2"/>
        <v>0.022222222222222223</v>
      </c>
      <c r="F22" s="60">
        <f t="shared" si="0"/>
        <v>0.009007205764611689</v>
      </c>
      <c r="G22" s="61">
        <f>F22*$G$3</f>
        <v>0.6755404323458767</v>
      </c>
      <c r="H22" s="66">
        <f t="shared" si="4"/>
        <v>1</v>
      </c>
      <c r="I22" s="63">
        <f t="shared" si="1"/>
        <v>0.5</v>
      </c>
      <c r="J22" s="64">
        <f t="shared" si="5"/>
        <v>-0.5</v>
      </c>
      <c r="K22" s="65">
        <v>-1</v>
      </c>
      <c r="L22" s="17"/>
    </row>
    <row r="23" spans="1:12" ht="19.5" customHeight="1">
      <c r="A23" s="3" t="s">
        <v>15</v>
      </c>
      <c r="B23" s="22">
        <f>VLOOKUP(A23,'[5]單位人數分析'!$A$5:$B$46,2,1)</f>
        <v>26</v>
      </c>
      <c r="C23" s="22">
        <v>2</v>
      </c>
      <c r="D23" s="22">
        <v>3</v>
      </c>
      <c r="E23" s="23">
        <f t="shared" si="2"/>
        <v>0.11538461538461539</v>
      </c>
      <c r="F23" s="23">
        <f t="shared" si="0"/>
        <v>0.010408326661329063</v>
      </c>
      <c r="G23" s="24">
        <f t="shared" si="3"/>
        <v>0.7806244995996797</v>
      </c>
      <c r="H23" s="30">
        <f t="shared" si="4"/>
        <v>1</v>
      </c>
      <c r="I23" s="18">
        <f t="shared" si="1"/>
        <v>3</v>
      </c>
      <c r="J23" s="12">
        <f t="shared" si="5"/>
        <v>2</v>
      </c>
      <c r="K23" s="12">
        <v>2</v>
      </c>
      <c r="L23" s="17"/>
    </row>
    <row r="24" spans="1:12" ht="19.5" customHeight="1">
      <c r="A24" s="3" t="s">
        <v>16</v>
      </c>
      <c r="B24" s="22">
        <f>VLOOKUP(A24,'[5]單位人數分析'!$A$5:$B$46,2,1)</f>
        <v>28</v>
      </c>
      <c r="C24" s="22">
        <v>6</v>
      </c>
      <c r="D24" s="22">
        <v>8</v>
      </c>
      <c r="E24" s="23">
        <f t="shared" si="2"/>
        <v>0.2857142857142857</v>
      </c>
      <c r="F24" s="23">
        <f t="shared" si="0"/>
        <v>0.01120896717373899</v>
      </c>
      <c r="G24" s="24">
        <f>F24*$G$3</f>
        <v>0.8406725380304243</v>
      </c>
      <c r="H24" s="30">
        <f t="shared" si="4"/>
        <v>1</v>
      </c>
      <c r="I24" s="18">
        <f t="shared" si="1"/>
        <v>8</v>
      </c>
      <c r="J24" s="12">
        <f t="shared" si="5"/>
        <v>7</v>
      </c>
      <c r="K24" s="12">
        <v>10</v>
      </c>
      <c r="L24" s="17"/>
    </row>
    <row r="25" spans="1:12" s="7" customFormat="1" ht="19.5" customHeight="1">
      <c r="A25" s="58" t="s">
        <v>25</v>
      </c>
      <c r="B25" s="59">
        <f>VLOOKUP(A25,'[5]單位人數分析'!$A$5:$B$46,2,1)</f>
        <v>31</v>
      </c>
      <c r="C25" s="59">
        <v>0</v>
      </c>
      <c r="D25" s="59">
        <v>0</v>
      </c>
      <c r="E25" s="60">
        <f t="shared" si="2"/>
        <v>0</v>
      </c>
      <c r="F25" s="60">
        <f t="shared" si="0"/>
        <v>0.012409927942353884</v>
      </c>
      <c r="G25" s="61">
        <f>F25*$G$3</f>
        <v>0.9307445956765412</v>
      </c>
      <c r="H25" s="62">
        <f t="shared" si="4"/>
        <v>1</v>
      </c>
      <c r="I25" s="63">
        <f t="shared" si="1"/>
        <v>0</v>
      </c>
      <c r="J25" s="64">
        <f t="shared" si="5"/>
        <v>-1</v>
      </c>
      <c r="K25" s="65">
        <v>-1</v>
      </c>
      <c r="L25" s="17"/>
    </row>
    <row r="26" spans="1:12" ht="19.5" customHeight="1">
      <c r="A26" s="67" t="s">
        <v>47</v>
      </c>
      <c r="B26" s="59">
        <f>VLOOKUP(A26,'[5]單位人數分析'!$A$5:$B$46,2,1)</f>
        <v>35</v>
      </c>
      <c r="C26" s="59">
        <v>0</v>
      </c>
      <c r="D26" s="59">
        <v>0</v>
      </c>
      <c r="E26" s="60">
        <f t="shared" si="2"/>
        <v>0</v>
      </c>
      <c r="F26" s="60">
        <f t="shared" si="0"/>
        <v>0.01401120896717374</v>
      </c>
      <c r="G26" s="61">
        <f aca="true" t="shared" si="6" ref="G26:G34">F26*$G$3</f>
        <v>1.0508406725380304</v>
      </c>
      <c r="H26" s="66">
        <f t="shared" si="4"/>
        <v>1</v>
      </c>
      <c r="I26" s="63">
        <f t="shared" si="1"/>
        <v>0</v>
      </c>
      <c r="J26" s="64">
        <f t="shared" si="5"/>
        <v>-1</v>
      </c>
      <c r="K26" s="65">
        <v>-1</v>
      </c>
      <c r="L26" s="17"/>
    </row>
    <row r="27" spans="1:12" ht="19.5" customHeight="1">
      <c r="A27" s="3" t="s">
        <v>17</v>
      </c>
      <c r="B27" s="22">
        <f>VLOOKUP(A27,'[5]單位人數分析'!$A$5:$B$46,2,1)</f>
        <v>2</v>
      </c>
      <c r="C27" s="22">
        <v>0</v>
      </c>
      <c r="D27" s="22">
        <v>0</v>
      </c>
      <c r="E27" s="23">
        <f t="shared" si="2"/>
        <v>0</v>
      </c>
      <c r="F27" s="23">
        <f t="shared" si="0"/>
        <v>0.0008006405124099279</v>
      </c>
      <c r="G27" s="24">
        <f t="shared" si="6"/>
        <v>0.06004803843074459</v>
      </c>
      <c r="H27" s="30">
        <f t="shared" si="4"/>
        <v>0</v>
      </c>
      <c r="I27" s="18" t="s">
        <v>43</v>
      </c>
      <c r="J27" s="12">
        <f t="shared" si="5"/>
        <v>0</v>
      </c>
      <c r="K27" s="12">
        <v>0</v>
      </c>
      <c r="L27" s="17"/>
    </row>
    <row r="28" spans="1:12" ht="19.5" customHeight="1">
      <c r="A28" s="3" t="s">
        <v>18</v>
      </c>
      <c r="B28" s="22">
        <f>VLOOKUP(A28,'[5]單位人數分析'!$A$5:$B$46,2,1)</f>
        <v>1</v>
      </c>
      <c r="C28" s="22">
        <v>0</v>
      </c>
      <c r="D28" s="22">
        <v>0</v>
      </c>
      <c r="E28" s="23">
        <f t="shared" si="2"/>
        <v>0</v>
      </c>
      <c r="F28" s="23">
        <f t="shared" si="0"/>
        <v>0.00040032025620496394</v>
      </c>
      <c r="G28" s="24">
        <f t="shared" si="6"/>
        <v>0.030024019215372295</v>
      </c>
      <c r="H28" s="30">
        <f t="shared" si="4"/>
        <v>0</v>
      </c>
      <c r="I28" s="18" t="s">
        <v>43</v>
      </c>
      <c r="J28" s="12">
        <f t="shared" si="5"/>
        <v>0</v>
      </c>
      <c r="K28" s="12">
        <v>0</v>
      </c>
      <c r="L28" s="17"/>
    </row>
    <row r="29" spans="1:12" ht="19.5" customHeight="1">
      <c r="A29" s="34" t="s">
        <v>48</v>
      </c>
      <c r="B29" s="22">
        <f>VLOOKUP(A29,'[5]單位人數分析'!$A$5:$B$46,2,1)</f>
        <v>12</v>
      </c>
      <c r="C29" s="22">
        <v>0</v>
      </c>
      <c r="D29" s="22">
        <v>0</v>
      </c>
      <c r="E29" s="23">
        <f t="shared" si="2"/>
        <v>0</v>
      </c>
      <c r="F29" s="23">
        <f t="shared" si="0"/>
        <v>0.004803843074459567</v>
      </c>
      <c r="G29" s="24">
        <f>F29*$G$3</f>
        <v>0.3602882305844676</v>
      </c>
      <c r="H29" s="30">
        <f t="shared" si="4"/>
        <v>0</v>
      </c>
      <c r="I29" s="18" t="s">
        <v>43</v>
      </c>
      <c r="J29" s="12">
        <f t="shared" si="5"/>
        <v>0</v>
      </c>
      <c r="K29" s="12">
        <v>0</v>
      </c>
      <c r="L29" s="17"/>
    </row>
    <row r="30" spans="1:12" ht="16.5">
      <c r="A30" s="9" t="s">
        <v>38</v>
      </c>
      <c r="B30" s="22">
        <f>VLOOKUP(A30,'[5]單位人數分析'!$A$5:$B$46,2,1)</f>
        <v>5</v>
      </c>
      <c r="C30" s="22">
        <v>0</v>
      </c>
      <c r="D30" s="22">
        <v>0</v>
      </c>
      <c r="E30" s="23">
        <f t="shared" si="2"/>
        <v>0</v>
      </c>
      <c r="F30" s="23">
        <f t="shared" si="0"/>
        <v>0.0020016012810248197</v>
      </c>
      <c r="G30" s="24">
        <f t="shared" si="6"/>
        <v>0.15012009607686147</v>
      </c>
      <c r="H30" s="30">
        <f t="shared" si="4"/>
        <v>0</v>
      </c>
      <c r="I30" s="18" t="s">
        <v>43</v>
      </c>
      <c r="J30" s="12">
        <f t="shared" si="5"/>
        <v>0</v>
      </c>
      <c r="K30" s="12">
        <v>0</v>
      </c>
      <c r="L30" s="17"/>
    </row>
    <row r="31" spans="1:12" s="8" customFormat="1" ht="16.5">
      <c r="A31" s="58" t="s">
        <v>33</v>
      </c>
      <c r="B31" s="59">
        <f>VLOOKUP(A31,'[5]單位人數分析'!$A$5:$B$46,2,1)</f>
        <v>22</v>
      </c>
      <c r="C31" s="59">
        <v>0</v>
      </c>
      <c r="D31" s="59">
        <v>0</v>
      </c>
      <c r="E31" s="60">
        <f t="shared" si="2"/>
        <v>0</v>
      </c>
      <c r="F31" s="60">
        <f t="shared" si="0"/>
        <v>0.008807045636509208</v>
      </c>
      <c r="G31" s="61">
        <f>F31*$G$3</f>
        <v>0.6605284227381906</v>
      </c>
      <c r="H31" s="66">
        <f t="shared" si="4"/>
        <v>1</v>
      </c>
      <c r="I31" s="63">
        <f>D31/H31</f>
        <v>0</v>
      </c>
      <c r="J31" s="64">
        <f t="shared" si="5"/>
        <v>-1</v>
      </c>
      <c r="K31" s="65">
        <v>-1</v>
      </c>
      <c r="L31" s="17"/>
    </row>
    <row r="32" spans="1:12" s="8" customFormat="1" ht="16.5">
      <c r="A32" s="3" t="s">
        <v>37</v>
      </c>
      <c r="B32" s="22">
        <f>VLOOKUP(A32,'[5]單位人數分析'!$A$5:$B$46,2,1)</f>
        <v>23</v>
      </c>
      <c r="C32" s="33">
        <v>1</v>
      </c>
      <c r="D32" s="33">
        <v>1</v>
      </c>
      <c r="E32" s="69">
        <f t="shared" si="2"/>
        <v>0.043478260869565216</v>
      </c>
      <c r="F32" s="69">
        <f t="shared" si="0"/>
        <v>0.009207365892714172</v>
      </c>
      <c r="G32" s="70">
        <f t="shared" si="6"/>
        <v>0.6905524419535629</v>
      </c>
      <c r="H32" s="30">
        <f t="shared" si="4"/>
        <v>1</v>
      </c>
      <c r="I32" s="71">
        <f>D32/H32</f>
        <v>1</v>
      </c>
      <c r="J32" s="21">
        <f t="shared" si="5"/>
        <v>0</v>
      </c>
      <c r="K32" s="21">
        <v>0</v>
      </c>
      <c r="L32" s="17"/>
    </row>
    <row r="33" spans="1:12" ht="16.5">
      <c r="A33" s="58" t="s">
        <v>40</v>
      </c>
      <c r="B33" s="59">
        <f>VLOOKUP(A33,'[5]單位人數分析'!$A$5:$B$46,2,1)</f>
        <v>125</v>
      </c>
      <c r="C33" s="68">
        <v>2</v>
      </c>
      <c r="D33" s="68">
        <v>2</v>
      </c>
      <c r="E33" s="60">
        <f t="shared" si="2"/>
        <v>0.016</v>
      </c>
      <c r="F33" s="60">
        <f t="shared" si="0"/>
        <v>0.0500400320256205</v>
      </c>
      <c r="G33" s="61">
        <f>F33*$G$3</f>
        <v>3.7530024019215373</v>
      </c>
      <c r="H33" s="66">
        <f t="shared" si="4"/>
        <v>4</v>
      </c>
      <c r="I33" s="63">
        <f>D33/H33</f>
        <v>0.5</v>
      </c>
      <c r="J33" s="64">
        <f t="shared" si="5"/>
        <v>-2</v>
      </c>
      <c r="K33" s="65">
        <v>-2</v>
      </c>
      <c r="L33" s="17"/>
    </row>
    <row r="34" spans="1:12" ht="16.5">
      <c r="A34" s="3" t="s">
        <v>39</v>
      </c>
      <c r="B34" s="22">
        <v>61</v>
      </c>
      <c r="C34" s="33">
        <v>2</v>
      </c>
      <c r="D34" s="33">
        <v>3</v>
      </c>
      <c r="E34" s="23">
        <f t="shared" si="2"/>
        <v>0.04918032786885246</v>
      </c>
      <c r="F34" s="23">
        <f t="shared" si="0"/>
        <v>0.0244195356285028</v>
      </c>
      <c r="G34" s="24">
        <f t="shared" si="6"/>
        <v>1.83146517213771</v>
      </c>
      <c r="H34" s="30">
        <f>ROUND(G34,0)</f>
        <v>2</v>
      </c>
      <c r="I34" s="18">
        <f>D34/H34</f>
        <v>1.5</v>
      </c>
      <c r="J34" s="21">
        <f t="shared" si="5"/>
        <v>1</v>
      </c>
      <c r="K34" s="12">
        <v>0</v>
      </c>
      <c r="L34" s="17"/>
    </row>
    <row r="35" spans="1:12" s="37" customFormat="1" ht="33" customHeight="1">
      <c r="A35" s="44" t="s">
        <v>19</v>
      </c>
      <c r="B35" s="75" t="s">
        <v>74</v>
      </c>
      <c r="C35" s="76"/>
      <c r="D35" s="76"/>
      <c r="E35" s="76"/>
      <c r="F35" s="76"/>
      <c r="G35" s="76"/>
      <c r="H35" s="76"/>
      <c r="I35" s="76"/>
      <c r="J35" s="76"/>
      <c r="K35" s="77"/>
      <c r="L35" s="45"/>
    </row>
    <row r="36" spans="1:12" ht="17.25" customHeight="1">
      <c r="A36" s="3" t="s">
        <v>29</v>
      </c>
      <c r="B36" s="33">
        <f>SUM(B4:B34)</f>
        <v>2498</v>
      </c>
      <c r="C36" s="33">
        <f>SUM(C4:C34)</f>
        <v>71.5</v>
      </c>
      <c r="D36" s="33">
        <f>SUM(D4:D34)</f>
        <v>85.5</v>
      </c>
      <c r="E36" s="4"/>
      <c r="F36" s="4"/>
      <c r="G36" s="46"/>
      <c r="H36" s="5"/>
      <c r="I36" s="20"/>
      <c r="J36" s="14"/>
      <c r="K36" s="47"/>
      <c r="L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2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54"/>
    </row>
    <row r="42" spans="1:7" ht="16.5">
      <c r="A42" s="80" t="s">
        <v>73</v>
      </c>
      <c r="B42" s="80"/>
      <c r="C42" s="80"/>
      <c r="D42" s="80"/>
      <c r="E42" s="80"/>
      <c r="F42" s="80"/>
      <c r="G42" s="80"/>
    </row>
  </sheetData>
  <sheetProtection/>
  <mergeCells count="14">
    <mergeCell ref="K2:K3"/>
    <mergeCell ref="B35:K35"/>
    <mergeCell ref="A41:K41"/>
    <mergeCell ref="A42:G42"/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rintOptions/>
  <pageMargins left="0.5118110236220472" right="0.3937007874015748" top="0.984251968503937" bottom="0.984251968503937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15" sqref="B15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9.625" style="50" customWidth="1"/>
    <col min="10" max="10" width="9.625" style="51" customWidth="1"/>
    <col min="11" max="12" width="9.625" style="42" customWidth="1"/>
    <col min="13" max="16384" width="9.00390625" style="1" customWidth="1"/>
  </cols>
  <sheetData>
    <row r="1" spans="1:13" ht="21">
      <c r="A1" s="81" t="s">
        <v>64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/>
      <c r="M1" s="39"/>
    </row>
    <row r="2" spans="1:12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23</v>
      </c>
      <c r="H2" s="90" t="s">
        <v>23</v>
      </c>
      <c r="I2" s="92" t="s">
        <v>69</v>
      </c>
      <c r="J2" s="73" t="s">
        <v>68</v>
      </c>
      <c r="K2" s="73" t="s">
        <v>67</v>
      </c>
      <c r="L2" s="41"/>
    </row>
    <row r="3" spans="1:12" s="42" customFormat="1" ht="68.25" customHeight="1">
      <c r="A3" s="82"/>
      <c r="B3" s="84"/>
      <c r="C3" s="84"/>
      <c r="D3" s="86"/>
      <c r="E3" s="87"/>
      <c r="F3" s="89"/>
      <c r="G3" s="15">
        <v>86</v>
      </c>
      <c r="H3" s="91"/>
      <c r="I3" s="93"/>
      <c r="J3" s="74"/>
      <c r="K3" s="74"/>
      <c r="L3" s="43"/>
    </row>
    <row r="4" spans="1:12" s="8" customFormat="1" ht="19.5" customHeight="1">
      <c r="A4" s="3" t="s">
        <v>2</v>
      </c>
      <c r="B4" s="22">
        <f>VLOOKUP(A4,'[4]各一級人數'!$A$4:$B$47,2,0)-2+2</f>
        <v>207</v>
      </c>
      <c r="C4" s="22">
        <v>5.5</v>
      </c>
      <c r="D4" s="22">
        <v>7.5</v>
      </c>
      <c r="E4" s="23">
        <f>D4/B4</f>
        <v>0.036231884057971016</v>
      </c>
      <c r="F4" s="23">
        <f aca="true" t="shared" si="0" ref="F4:F34">B4/$B$36</f>
        <v>0.07207520891364902</v>
      </c>
      <c r="G4" s="24">
        <f>F4*$G$3</f>
        <v>6.198467966573816</v>
      </c>
      <c r="H4" s="25">
        <f>ROUND(G4,0)</f>
        <v>6</v>
      </c>
      <c r="I4" s="18">
        <f aca="true" t="shared" si="1" ref="I4:I26">D4/H4</f>
        <v>1.25</v>
      </c>
      <c r="J4" s="21">
        <f>D4-H4</f>
        <v>1.5</v>
      </c>
      <c r="K4" s="12">
        <v>2.5</v>
      </c>
      <c r="L4" s="17"/>
    </row>
    <row r="5" spans="1:12" s="8" customFormat="1" ht="19.5" customHeight="1">
      <c r="A5" s="58" t="s">
        <v>3</v>
      </c>
      <c r="B5" s="22">
        <f>VLOOKUP(A5,'[4]各一級人數'!$A$4:$B$47,2,0)-1+1</f>
        <v>720</v>
      </c>
      <c r="C5" s="59">
        <v>15</v>
      </c>
      <c r="D5" s="59">
        <v>16</v>
      </c>
      <c r="E5" s="60">
        <f aca="true" t="shared" si="2" ref="E5:E34">D5/B5</f>
        <v>0.022222222222222223</v>
      </c>
      <c r="F5" s="60">
        <f t="shared" si="0"/>
        <v>0.25069637883008355</v>
      </c>
      <c r="G5" s="61">
        <f aca="true" t="shared" si="3" ref="G5:G23">F5*$G$3</f>
        <v>21.559888579387184</v>
      </c>
      <c r="H5" s="62">
        <f aca="true" t="shared" si="4" ref="H5:H33">ROUND(G5,0)</f>
        <v>22</v>
      </c>
      <c r="I5" s="63">
        <f t="shared" si="1"/>
        <v>0.7272727272727273</v>
      </c>
      <c r="J5" s="64">
        <f aca="true" t="shared" si="5" ref="J5:J34">D5-H5</f>
        <v>-6</v>
      </c>
      <c r="K5" s="65">
        <v>-6.5</v>
      </c>
      <c r="L5" s="17"/>
    </row>
    <row r="6" spans="1:12" s="36" customFormat="1" ht="19.5" customHeight="1">
      <c r="A6" s="58" t="s">
        <v>4</v>
      </c>
      <c r="B6" s="22">
        <f>VLOOKUP(A6,'[4]各一級人數'!$A$4:$B$47,2,0)</f>
        <v>152</v>
      </c>
      <c r="C6" s="59">
        <v>4.5</v>
      </c>
      <c r="D6" s="59">
        <v>4.5</v>
      </c>
      <c r="E6" s="60">
        <f t="shared" si="2"/>
        <v>0.029605263157894735</v>
      </c>
      <c r="F6" s="60">
        <f t="shared" si="0"/>
        <v>0.052924791086350974</v>
      </c>
      <c r="G6" s="61">
        <f t="shared" si="3"/>
        <v>4.5515320334261835</v>
      </c>
      <c r="H6" s="62">
        <f t="shared" si="4"/>
        <v>5</v>
      </c>
      <c r="I6" s="63">
        <f t="shared" si="1"/>
        <v>0.9</v>
      </c>
      <c r="J6" s="64">
        <f t="shared" si="5"/>
        <v>-0.5</v>
      </c>
      <c r="K6" s="65">
        <v>-0.5</v>
      </c>
      <c r="L6" s="17"/>
    </row>
    <row r="7" spans="1:12" s="7" customFormat="1" ht="19.5" customHeight="1">
      <c r="A7" s="58" t="s">
        <v>5</v>
      </c>
      <c r="B7" s="22">
        <f>VLOOKUP(A7,'[4]各一級人數'!$A$4:$B$47,2,0)-1</f>
        <v>249</v>
      </c>
      <c r="C7" s="59">
        <v>4.5</v>
      </c>
      <c r="D7" s="59">
        <v>5.5</v>
      </c>
      <c r="E7" s="60">
        <f t="shared" si="2"/>
        <v>0.02208835341365462</v>
      </c>
      <c r="F7" s="60">
        <f t="shared" si="0"/>
        <v>0.0866991643454039</v>
      </c>
      <c r="G7" s="61">
        <f t="shared" si="3"/>
        <v>7.456128133704735</v>
      </c>
      <c r="H7" s="62">
        <f t="shared" si="4"/>
        <v>7</v>
      </c>
      <c r="I7" s="63">
        <f t="shared" si="1"/>
        <v>0.7857142857142857</v>
      </c>
      <c r="J7" s="64">
        <f t="shared" si="5"/>
        <v>-1.5</v>
      </c>
      <c r="K7" s="65">
        <v>-2.5</v>
      </c>
      <c r="L7" s="17"/>
    </row>
    <row r="8" spans="1:12" ht="19.5" customHeight="1">
      <c r="A8" s="3" t="s">
        <v>6</v>
      </c>
      <c r="B8" s="22">
        <f>VLOOKUP(A8,'[4]各一級人數'!$A$4:$B$47,2,0)+1</f>
        <v>147</v>
      </c>
      <c r="C8" s="22">
        <v>5</v>
      </c>
      <c r="D8" s="22">
        <v>5</v>
      </c>
      <c r="E8" s="23">
        <f t="shared" si="2"/>
        <v>0.034013605442176874</v>
      </c>
      <c r="F8" s="23">
        <f t="shared" si="0"/>
        <v>0.05118384401114206</v>
      </c>
      <c r="G8" s="24">
        <f>F8*$G$3</f>
        <v>4.401810584958217</v>
      </c>
      <c r="H8" s="25">
        <f t="shared" si="4"/>
        <v>4</v>
      </c>
      <c r="I8" s="18">
        <f t="shared" si="1"/>
        <v>1.25</v>
      </c>
      <c r="J8" s="12">
        <f t="shared" si="5"/>
        <v>1</v>
      </c>
      <c r="K8" s="12">
        <v>0</v>
      </c>
      <c r="L8" s="17"/>
    </row>
    <row r="9" spans="1:12" ht="19.5" customHeight="1">
      <c r="A9" s="58" t="s">
        <v>7</v>
      </c>
      <c r="B9" s="22">
        <f>VLOOKUP(A9,'[4]各一級人數'!$A$4:$B$47,2,0)</f>
        <v>165</v>
      </c>
      <c r="C9" s="59">
        <v>3</v>
      </c>
      <c r="D9" s="59">
        <v>3</v>
      </c>
      <c r="E9" s="60">
        <f t="shared" si="2"/>
        <v>0.01818181818181818</v>
      </c>
      <c r="F9" s="60">
        <f t="shared" si="0"/>
        <v>0.05745125348189415</v>
      </c>
      <c r="G9" s="61">
        <f t="shared" si="3"/>
        <v>4.940807799442897</v>
      </c>
      <c r="H9" s="62">
        <f t="shared" si="4"/>
        <v>5</v>
      </c>
      <c r="I9" s="63">
        <f t="shared" si="1"/>
        <v>0.6</v>
      </c>
      <c r="J9" s="64">
        <f t="shared" si="5"/>
        <v>-2</v>
      </c>
      <c r="K9" s="65">
        <v>-2</v>
      </c>
      <c r="L9" s="17"/>
    </row>
    <row r="10" spans="1:12" ht="19.5" customHeight="1">
      <c r="A10" s="58" t="s">
        <v>26</v>
      </c>
      <c r="B10" s="22">
        <f>VLOOKUP(A10,'[4]各一級人數'!$A$4:$B$47,2,0)-1</f>
        <v>206</v>
      </c>
      <c r="C10" s="59">
        <v>4</v>
      </c>
      <c r="D10" s="59">
        <v>5</v>
      </c>
      <c r="E10" s="60">
        <f t="shared" si="2"/>
        <v>0.024271844660194174</v>
      </c>
      <c r="F10" s="60">
        <f t="shared" si="0"/>
        <v>0.07172701949860724</v>
      </c>
      <c r="G10" s="61">
        <f>F10*$G$3</f>
        <v>6.1685236768802225</v>
      </c>
      <c r="H10" s="62">
        <f t="shared" si="4"/>
        <v>6</v>
      </c>
      <c r="I10" s="63">
        <f t="shared" si="1"/>
        <v>0.8333333333333334</v>
      </c>
      <c r="J10" s="64">
        <f t="shared" si="5"/>
        <v>-1</v>
      </c>
      <c r="K10" s="65">
        <v>-2</v>
      </c>
      <c r="L10" s="17"/>
    </row>
    <row r="11" spans="1:12" s="6" customFormat="1" ht="19.5" customHeight="1">
      <c r="A11" s="58" t="s">
        <v>28</v>
      </c>
      <c r="B11" s="22">
        <f>VLOOKUP(A11,'[4]各一級人數'!$A$4:$B$47,2,0)</f>
        <v>64</v>
      </c>
      <c r="C11" s="59">
        <v>1</v>
      </c>
      <c r="D11" s="59">
        <v>1</v>
      </c>
      <c r="E11" s="60">
        <f t="shared" si="2"/>
        <v>0.015625</v>
      </c>
      <c r="F11" s="60">
        <f t="shared" si="0"/>
        <v>0.022284122562674095</v>
      </c>
      <c r="G11" s="61">
        <f t="shared" si="3"/>
        <v>1.916434540389972</v>
      </c>
      <c r="H11" s="62">
        <f t="shared" si="4"/>
        <v>2</v>
      </c>
      <c r="I11" s="63">
        <f t="shared" si="1"/>
        <v>0.5</v>
      </c>
      <c r="J11" s="64">
        <f t="shared" si="5"/>
        <v>-1</v>
      </c>
      <c r="K11" s="65">
        <v>-1</v>
      </c>
      <c r="L11" s="17"/>
    </row>
    <row r="12" spans="1:12" s="6" customFormat="1" ht="19.5" customHeight="1">
      <c r="A12" s="3" t="s">
        <v>34</v>
      </c>
      <c r="B12" s="22">
        <f>VLOOKUP(A12,'[4]各一級人數'!$A$4:$B$47,2,0)</f>
        <v>103</v>
      </c>
      <c r="C12" s="22">
        <v>3.5</v>
      </c>
      <c r="D12" s="22">
        <v>4.5</v>
      </c>
      <c r="E12" s="23">
        <f t="shared" si="2"/>
        <v>0.043689320388349516</v>
      </c>
      <c r="F12" s="23">
        <f t="shared" si="0"/>
        <v>0.03586350974930362</v>
      </c>
      <c r="G12" s="24">
        <f>F12*$G$3</f>
        <v>3.0842618384401113</v>
      </c>
      <c r="H12" s="25">
        <f t="shared" si="4"/>
        <v>3</v>
      </c>
      <c r="I12" s="18">
        <f t="shared" si="1"/>
        <v>1.5</v>
      </c>
      <c r="J12" s="12">
        <f t="shared" si="5"/>
        <v>1.5</v>
      </c>
      <c r="K12" s="12">
        <v>1.5</v>
      </c>
      <c r="L12" s="17"/>
    </row>
    <row r="13" spans="1:12" s="36" customFormat="1" ht="19.5" customHeight="1">
      <c r="A13" s="3" t="s">
        <v>8</v>
      </c>
      <c r="B13" s="22">
        <f>VLOOKUP(A13,'[4]各一級人數'!$A$4:$B$47,2,0)-1</f>
        <v>32</v>
      </c>
      <c r="C13" s="22">
        <v>1</v>
      </c>
      <c r="D13" s="22">
        <v>1</v>
      </c>
      <c r="E13" s="23">
        <f t="shared" si="2"/>
        <v>0.03125</v>
      </c>
      <c r="F13" s="23">
        <f t="shared" si="0"/>
        <v>0.011142061281337047</v>
      </c>
      <c r="G13" s="24">
        <f t="shared" si="3"/>
        <v>0.958217270194986</v>
      </c>
      <c r="H13" s="25">
        <f t="shared" si="4"/>
        <v>1</v>
      </c>
      <c r="I13" s="18">
        <f t="shared" si="1"/>
        <v>1</v>
      </c>
      <c r="J13" s="21">
        <f t="shared" si="5"/>
        <v>0</v>
      </c>
      <c r="K13" s="12">
        <v>0</v>
      </c>
      <c r="L13" s="17"/>
    </row>
    <row r="14" spans="1:12" ht="19.5" customHeight="1">
      <c r="A14" s="9" t="s">
        <v>36</v>
      </c>
      <c r="B14" s="22">
        <f>VLOOKUP(A14,'[4]各一級人數'!$A$4:$B$47,2,0)</f>
        <v>4</v>
      </c>
      <c r="C14" s="22">
        <v>0</v>
      </c>
      <c r="D14" s="22">
        <v>0</v>
      </c>
      <c r="E14" s="23">
        <f t="shared" si="2"/>
        <v>0</v>
      </c>
      <c r="F14" s="23">
        <f t="shared" si="0"/>
        <v>0.001392757660167131</v>
      </c>
      <c r="G14" s="24">
        <f t="shared" si="3"/>
        <v>0.11977715877437325</v>
      </c>
      <c r="H14" s="30">
        <f t="shared" si="4"/>
        <v>0</v>
      </c>
      <c r="I14" s="18" t="s">
        <v>43</v>
      </c>
      <c r="J14" s="12">
        <f t="shared" si="5"/>
        <v>0</v>
      </c>
      <c r="K14" s="12">
        <v>0</v>
      </c>
      <c r="L14" s="17"/>
    </row>
    <row r="15" spans="1:12" s="37" customFormat="1" ht="19.5" customHeight="1">
      <c r="A15" s="3" t="s">
        <v>9</v>
      </c>
      <c r="B15" s="22">
        <f>VLOOKUP(A15,'[4]各一級人數'!$A$4:$B$47,2,0)-2</f>
        <v>114</v>
      </c>
      <c r="C15" s="22">
        <v>3</v>
      </c>
      <c r="D15" s="22">
        <v>4</v>
      </c>
      <c r="E15" s="23">
        <f t="shared" si="2"/>
        <v>0.03508771929824561</v>
      </c>
      <c r="F15" s="23">
        <f t="shared" si="0"/>
        <v>0.03969359331476323</v>
      </c>
      <c r="G15" s="24">
        <f t="shared" si="3"/>
        <v>3.413649025069638</v>
      </c>
      <c r="H15" s="30">
        <f t="shared" si="4"/>
        <v>3</v>
      </c>
      <c r="I15" s="18">
        <f t="shared" si="1"/>
        <v>1.3333333333333333</v>
      </c>
      <c r="J15" s="21">
        <f t="shared" si="5"/>
        <v>1</v>
      </c>
      <c r="K15" s="12">
        <v>1</v>
      </c>
      <c r="L15" s="17"/>
    </row>
    <row r="16" spans="1:12" ht="19.5" customHeight="1">
      <c r="A16" s="3" t="s">
        <v>42</v>
      </c>
      <c r="B16" s="22">
        <f>VLOOKUP(A16,'[4]各一級人數'!$A$4:$B$47,2,0)</f>
        <v>86</v>
      </c>
      <c r="C16" s="22">
        <v>4</v>
      </c>
      <c r="D16" s="22">
        <v>5</v>
      </c>
      <c r="E16" s="23">
        <f t="shared" si="2"/>
        <v>0.05813953488372093</v>
      </c>
      <c r="F16" s="23">
        <f t="shared" si="0"/>
        <v>0.029944289693593314</v>
      </c>
      <c r="G16" s="24">
        <f>F16*$G$3</f>
        <v>2.575208913649025</v>
      </c>
      <c r="H16" s="30">
        <f t="shared" si="4"/>
        <v>3</v>
      </c>
      <c r="I16" s="18">
        <f t="shared" si="1"/>
        <v>1.6666666666666667</v>
      </c>
      <c r="J16" s="12">
        <f t="shared" si="5"/>
        <v>2</v>
      </c>
      <c r="K16" s="12">
        <v>1</v>
      </c>
      <c r="L16" s="17"/>
    </row>
    <row r="17" spans="1:12" ht="19.5" customHeight="1">
      <c r="A17" s="3" t="s">
        <v>10</v>
      </c>
      <c r="B17" s="22">
        <f>VLOOKUP(A17,'[4]各一級人數'!$A$4:$B$47,2,0)</f>
        <v>49</v>
      </c>
      <c r="C17" s="22">
        <v>2</v>
      </c>
      <c r="D17" s="22">
        <v>4</v>
      </c>
      <c r="E17" s="23">
        <f t="shared" si="2"/>
        <v>0.08163265306122448</v>
      </c>
      <c r="F17" s="23">
        <f t="shared" si="0"/>
        <v>0.017061281337047353</v>
      </c>
      <c r="G17" s="24">
        <f t="shared" si="3"/>
        <v>1.4672701949860723</v>
      </c>
      <c r="H17" s="30">
        <f t="shared" si="4"/>
        <v>1</v>
      </c>
      <c r="I17" s="18">
        <f t="shared" si="1"/>
        <v>4</v>
      </c>
      <c r="J17" s="12">
        <f t="shared" si="5"/>
        <v>3</v>
      </c>
      <c r="K17" s="12">
        <v>3</v>
      </c>
      <c r="L17" s="17"/>
    </row>
    <row r="18" spans="1:12" s="37" customFormat="1" ht="19.5" customHeight="1">
      <c r="A18" s="3" t="s">
        <v>11</v>
      </c>
      <c r="B18" s="22">
        <f>VLOOKUP(A18,'[4]各一級人數'!$A$4:$B$47,2,0)</f>
        <v>46</v>
      </c>
      <c r="C18" s="22">
        <v>1</v>
      </c>
      <c r="D18" s="22">
        <v>2</v>
      </c>
      <c r="E18" s="23">
        <f t="shared" si="2"/>
        <v>0.043478260869565216</v>
      </c>
      <c r="F18" s="23">
        <f t="shared" si="0"/>
        <v>0.016016713091922007</v>
      </c>
      <c r="G18" s="24">
        <f t="shared" si="3"/>
        <v>1.3774373259052926</v>
      </c>
      <c r="H18" s="30">
        <f t="shared" si="4"/>
        <v>1</v>
      </c>
      <c r="I18" s="18">
        <f t="shared" si="1"/>
        <v>2</v>
      </c>
      <c r="J18" s="12">
        <f t="shared" si="5"/>
        <v>1</v>
      </c>
      <c r="K18" s="12">
        <v>1</v>
      </c>
      <c r="L18" s="17"/>
    </row>
    <row r="19" spans="1:12" ht="19.5" customHeight="1">
      <c r="A19" s="58" t="s">
        <v>12</v>
      </c>
      <c r="B19" s="22">
        <f>VLOOKUP(A19,'[4]各一級人數'!$A$4:$B$47,2,0)</f>
        <v>19</v>
      </c>
      <c r="C19" s="59">
        <v>0</v>
      </c>
      <c r="D19" s="59">
        <v>0</v>
      </c>
      <c r="E19" s="60">
        <f t="shared" si="2"/>
        <v>0</v>
      </c>
      <c r="F19" s="60">
        <f t="shared" si="0"/>
        <v>0.006615598885793872</v>
      </c>
      <c r="G19" s="61">
        <f t="shared" si="3"/>
        <v>0.5689415041782729</v>
      </c>
      <c r="H19" s="66">
        <f t="shared" si="4"/>
        <v>1</v>
      </c>
      <c r="I19" s="63">
        <f t="shared" si="1"/>
        <v>0</v>
      </c>
      <c r="J19" s="64">
        <f t="shared" si="5"/>
        <v>-1</v>
      </c>
      <c r="K19" s="65">
        <v>-1</v>
      </c>
      <c r="L19" s="17"/>
    </row>
    <row r="20" spans="1:12" ht="18.75" customHeight="1">
      <c r="A20" s="3" t="s">
        <v>32</v>
      </c>
      <c r="B20" s="22">
        <f>VLOOKUP(A20,'[4]各一級人數'!$A$4:$B$47,2,0)</f>
        <v>24</v>
      </c>
      <c r="C20" s="22">
        <v>1</v>
      </c>
      <c r="D20" s="22">
        <v>1</v>
      </c>
      <c r="E20" s="23">
        <f t="shared" si="2"/>
        <v>0.041666666666666664</v>
      </c>
      <c r="F20" s="23">
        <f t="shared" si="0"/>
        <v>0.008356545961002786</v>
      </c>
      <c r="G20" s="24">
        <f>F20*$G$3</f>
        <v>0.7186629526462396</v>
      </c>
      <c r="H20" s="30">
        <f t="shared" si="4"/>
        <v>1</v>
      </c>
      <c r="I20" s="18">
        <f t="shared" si="1"/>
        <v>1</v>
      </c>
      <c r="J20" s="12">
        <f t="shared" si="5"/>
        <v>0</v>
      </c>
      <c r="K20" s="12">
        <v>0</v>
      </c>
      <c r="L20" s="17"/>
    </row>
    <row r="21" spans="1:12" ht="19.5" customHeight="1">
      <c r="A21" s="3" t="s">
        <v>13</v>
      </c>
      <c r="B21" s="22">
        <f>VLOOKUP(A21,'[4]各一級人數'!$A$4:$B$47,2,0)</f>
        <v>39</v>
      </c>
      <c r="C21" s="22">
        <v>2.5</v>
      </c>
      <c r="D21" s="22">
        <v>3.5</v>
      </c>
      <c r="E21" s="23">
        <f t="shared" si="2"/>
        <v>0.08974358974358974</v>
      </c>
      <c r="F21" s="23">
        <f t="shared" si="0"/>
        <v>0.013579387186629526</v>
      </c>
      <c r="G21" s="24">
        <f t="shared" si="3"/>
        <v>1.1678272980501392</v>
      </c>
      <c r="H21" s="30">
        <f t="shared" si="4"/>
        <v>1</v>
      </c>
      <c r="I21" s="18">
        <f t="shared" si="1"/>
        <v>3.5</v>
      </c>
      <c r="J21" s="12">
        <f t="shared" si="5"/>
        <v>2.5</v>
      </c>
      <c r="K21" s="12">
        <v>2</v>
      </c>
      <c r="L21" s="17"/>
    </row>
    <row r="22" spans="1:12" s="8" customFormat="1" ht="19.5" customHeight="1">
      <c r="A22" s="58" t="s">
        <v>14</v>
      </c>
      <c r="B22" s="22">
        <f>VLOOKUP(A22,'[4]各一級人數'!$A$4:$B$47,2,0)</f>
        <v>22</v>
      </c>
      <c r="C22" s="59">
        <v>0</v>
      </c>
      <c r="D22" s="59">
        <v>0</v>
      </c>
      <c r="E22" s="60">
        <f t="shared" si="2"/>
        <v>0</v>
      </c>
      <c r="F22" s="60">
        <f t="shared" si="0"/>
        <v>0.00766016713091922</v>
      </c>
      <c r="G22" s="61">
        <f>F22*$G$3</f>
        <v>0.6587743732590529</v>
      </c>
      <c r="H22" s="66">
        <f t="shared" si="4"/>
        <v>1</v>
      </c>
      <c r="I22" s="63">
        <f t="shared" si="1"/>
        <v>0</v>
      </c>
      <c r="J22" s="64">
        <f t="shared" si="5"/>
        <v>-1</v>
      </c>
      <c r="K22" s="65">
        <v>-1</v>
      </c>
      <c r="L22" s="17"/>
    </row>
    <row r="23" spans="1:12" ht="19.5" customHeight="1">
      <c r="A23" s="3" t="s">
        <v>15</v>
      </c>
      <c r="B23" s="22">
        <f>VLOOKUP(A23,'[4]各一級人數'!$A$4:$B$47,2,0)</f>
        <v>24</v>
      </c>
      <c r="C23" s="22">
        <v>2</v>
      </c>
      <c r="D23" s="22">
        <v>3</v>
      </c>
      <c r="E23" s="23">
        <f t="shared" si="2"/>
        <v>0.125</v>
      </c>
      <c r="F23" s="23">
        <f t="shared" si="0"/>
        <v>0.008356545961002786</v>
      </c>
      <c r="G23" s="24">
        <f t="shared" si="3"/>
        <v>0.7186629526462396</v>
      </c>
      <c r="H23" s="30">
        <f t="shared" si="4"/>
        <v>1</v>
      </c>
      <c r="I23" s="18">
        <f t="shared" si="1"/>
        <v>3</v>
      </c>
      <c r="J23" s="12">
        <f t="shared" si="5"/>
        <v>2</v>
      </c>
      <c r="K23" s="12">
        <v>2</v>
      </c>
      <c r="L23" s="17"/>
    </row>
    <row r="24" spans="1:12" ht="19.5" customHeight="1">
      <c r="A24" s="3" t="s">
        <v>16</v>
      </c>
      <c r="B24" s="22">
        <f>VLOOKUP(A24,'[4]各一級人數'!$A$4:$B$47,2,0)</f>
        <v>31</v>
      </c>
      <c r="C24" s="22">
        <v>8</v>
      </c>
      <c r="D24" s="22">
        <v>11</v>
      </c>
      <c r="E24" s="23">
        <f t="shared" si="2"/>
        <v>0.3548387096774194</v>
      </c>
      <c r="F24" s="23">
        <f t="shared" si="0"/>
        <v>0.010793871866295265</v>
      </c>
      <c r="G24" s="24">
        <f>F24*$G$3</f>
        <v>0.9282729805013927</v>
      </c>
      <c r="H24" s="30">
        <f t="shared" si="4"/>
        <v>1</v>
      </c>
      <c r="I24" s="18">
        <f t="shared" si="1"/>
        <v>11</v>
      </c>
      <c r="J24" s="12">
        <f t="shared" si="5"/>
        <v>10</v>
      </c>
      <c r="K24" s="12">
        <v>10.5</v>
      </c>
      <c r="L24" s="17"/>
    </row>
    <row r="25" spans="1:12" s="7" customFormat="1" ht="19.5" customHeight="1">
      <c r="A25" s="58" t="s">
        <v>25</v>
      </c>
      <c r="B25" s="22">
        <f>VLOOKUP(A25,'[4]各一級人數'!$A$4:$B$47,2,0)</f>
        <v>30</v>
      </c>
      <c r="C25" s="59">
        <v>0</v>
      </c>
      <c r="D25" s="59">
        <v>0</v>
      </c>
      <c r="E25" s="60">
        <f t="shared" si="2"/>
        <v>0</v>
      </c>
      <c r="F25" s="60">
        <f t="shared" si="0"/>
        <v>0.010445682451253482</v>
      </c>
      <c r="G25" s="61">
        <f>F25*$G$3</f>
        <v>0.8983286908077994</v>
      </c>
      <c r="H25" s="62">
        <f t="shared" si="4"/>
        <v>1</v>
      </c>
      <c r="I25" s="63">
        <f t="shared" si="1"/>
        <v>0</v>
      </c>
      <c r="J25" s="64">
        <f t="shared" si="5"/>
        <v>-1</v>
      </c>
      <c r="K25" s="65">
        <v>-1</v>
      </c>
      <c r="L25" s="17"/>
    </row>
    <row r="26" spans="1:12" ht="19.5" customHeight="1">
      <c r="A26" s="67" t="s">
        <v>47</v>
      </c>
      <c r="B26" s="22">
        <f>VLOOKUP(A26,'[4]各一級人數'!$A$4:$B$47,2,0)</f>
        <v>35</v>
      </c>
      <c r="C26" s="59">
        <v>0</v>
      </c>
      <c r="D26" s="59">
        <v>0</v>
      </c>
      <c r="E26" s="60">
        <f t="shared" si="2"/>
        <v>0</v>
      </c>
      <c r="F26" s="60">
        <f t="shared" si="0"/>
        <v>0.012186629526462395</v>
      </c>
      <c r="G26" s="61">
        <f aca="true" t="shared" si="6" ref="G26:G34">F26*$G$3</f>
        <v>1.048050139275766</v>
      </c>
      <c r="H26" s="66">
        <f t="shared" si="4"/>
        <v>1</v>
      </c>
      <c r="I26" s="63">
        <f t="shared" si="1"/>
        <v>0</v>
      </c>
      <c r="J26" s="64">
        <f t="shared" si="5"/>
        <v>-1</v>
      </c>
      <c r="K26" s="65">
        <v>-1</v>
      </c>
      <c r="L26" s="17"/>
    </row>
    <row r="27" spans="1:12" ht="19.5" customHeight="1">
      <c r="A27" s="3" t="s">
        <v>17</v>
      </c>
      <c r="B27" s="22">
        <f>VLOOKUP(A27,'[4]各一級人數'!$A$4:$B$47,2,0)</f>
        <v>4</v>
      </c>
      <c r="C27" s="22">
        <v>0</v>
      </c>
      <c r="D27" s="22">
        <v>0</v>
      </c>
      <c r="E27" s="23">
        <f t="shared" si="2"/>
        <v>0</v>
      </c>
      <c r="F27" s="23">
        <f t="shared" si="0"/>
        <v>0.001392757660167131</v>
      </c>
      <c r="G27" s="24">
        <f t="shared" si="6"/>
        <v>0.11977715877437325</v>
      </c>
      <c r="H27" s="30">
        <f t="shared" si="4"/>
        <v>0</v>
      </c>
      <c r="I27" s="18" t="s">
        <v>43</v>
      </c>
      <c r="J27" s="12">
        <f t="shared" si="5"/>
        <v>0</v>
      </c>
      <c r="K27" s="12">
        <v>0</v>
      </c>
      <c r="L27" s="17"/>
    </row>
    <row r="28" spans="1:12" ht="19.5" customHeight="1">
      <c r="A28" s="3" t="s">
        <v>18</v>
      </c>
      <c r="B28" s="22">
        <f>VLOOKUP(A28,'[4]各一級人數'!$A$4:$B$47,2,0)</f>
        <v>1</v>
      </c>
      <c r="C28" s="22">
        <v>0</v>
      </c>
      <c r="D28" s="22">
        <v>0</v>
      </c>
      <c r="E28" s="23">
        <f t="shared" si="2"/>
        <v>0</v>
      </c>
      <c r="F28" s="23">
        <f t="shared" si="0"/>
        <v>0.00034818941504178273</v>
      </c>
      <c r="G28" s="24">
        <f t="shared" si="6"/>
        <v>0.029944289693593314</v>
      </c>
      <c r="H28" s="30">
        <f t="shared" si="4"/>
        <v>0</v>
      </c>
      <c r="I28" s="18" t="s">
        <v>43</v>
      </c>
      <c r="J28" s="12">
        <f t="shared" si="5"/>
        <v>0</v>
      </c>
      <c r="K28" s="12">
        <v>0</v>
      </c>
      <c r="L28" s="17"/>
    </row>
    <row r="29" spans="1:12" ht="19.5" customHeight="1">
      <c r="A29" s="34" t="s">
        <v>48</v>
      </c>
      <c r="B29" s="22">
        <f>VLOOKUP(A29,'[4]各一級人數'!$A$4:$B$47,2,0)</f>
        <v>15</v>
      </c>
      <c r="C29" s="22">
        <v>0</v>
      </c>
      <c r="D29" s="22">
        <v>0</v>
      </c>
      <c r="E29" s="23">
        <f t="shared" si="2"/>
        <v>0</v>
      </c>
      <c r="F29" s="23">
        <f t="shared" si="0"/>
        <v>0.005222841225626741</v>
      </c>
      <c r="G29" s="24">
        <f>F29*$G$3</f>
        <v>0.4491643454038997</v>
      </c>
      <c r="H29" s="30">
        <f t="shared" si="4"/>
        <v>0</v>
      </c>
      <c r="I29" s="18" t="s">
        <v>43</v>
      </c>
      <c r="J29" s="12">
        <f t="shared" si="5"/>
        <v>0</v>
      </c>
      <c r="K29" s="12">
        <v>0</v>
      </c>
      <c r="L29" s="17"/>
    </row>
    <row r="30" spans="1:12" ht="16.5">
      <c r="A30" s="9" t="s">
        <v>38</v>
      </c>
      <c r="B30" s="22">
        <f>VLOOKUP(A30,'[4]各一級人數'!$A$4:$B$47,2,0)</f>
        <v>4</v>
      </c>
      <c r="C30" s="22">
        <v>0</v>
      </c>
      <c r="D30" s="22">
        <v>0</v>
      </c>
      <c r="E30" s="23">
        <f t="shared" si="2"/>
        <v>0</v>
      </c>
      <c r="F30" s="23">
        <f t="shared" si="0"/>
        <v>0.001392757660167131</v>
      </c>
      <c r="G30" s="24">
        <f t="shared" si="6"/>
        <v>0.11977715877437325</v>
      </c>
      <c r="H30" s="30">
        <f t="shared" si="4"/>
        <v>0</v>
      </c>
      <c r="I30" s="18" t="s">
        <v>43</v>
      </c>
      <c r="J30" s="12">
        <f t="shared" si="5"/>
        <v>0</v>
      </c>
      <c r="K30" s="12">
        <v>0</v>
      </c>
      <c r="L30" s="17"/>
    </row>
    <row r="31" spans="1:12" s="8" customFormat="1" ht="16.5">
      <c r="A31" s="58" t="s">
        <v>33</v>
      </c>
      <c r="B31" s="22">
        <f>VLOOKUP(A31,'[4]各一級人數'!$A$4:$B$47,2,0)</f>
        <v>25</v>
      </c>
      <c r="C31" s="59">
        <v>0</v>
      </c>
      <c r="D31" s="59">
        <v>0</v>
      </c>
      <c r="E31" s="60">
        <f t="shared" si="2"/>
        <v>0</v>
      </c>
      <c r="F31" s="60">
        <f t="shared" si="0"/>
        <v>0.008704735376044569</v>
      </c>
      <c r="G31" s="61">
        <f>F31*$G$3</f>
        <v>0.7486072423398329</v>
      </c>
      <c r="H31" s="66">
        <f t="shared" si="4"/>
        <v>1</v>
      </c>
      <c r="I31" s="63">
        <f>D31/H31</f>
        <v>0</v>
      </c>
      <c r="J31" s="64">
        <f t="shared" si="5"/>
        <v>-1</v>
      </c>
      <c r="K31" s="65">
        <v>-1</v>
      </c>
      <c r="L31" s="17"/>
    </row>
    <row r="32" spans="1:12" s="8" customFormat="1" ht="16.5">
      <c r="A32" s="3" t="s">
        <v>37</v>
      </c>
      <c r="B32" s="22">
        <f>VLOOKUP(A32,'[4]各一級人數'!$A$4:$B$47,2,0)</f>
        <v>32</v>
      </c>
      <c r="C32" s="33">
        <v>1</v>
      </c>
      <c r="D32" s="33">
        <v>1</v>
      </c>
      <c r="E32" s="69">
        <f t="shared" si="2"/>
        <v>0.03125</v>
      </c>
      <c r="F32" s="69">
        <f t="shared" si="0"/>
        <v>0.011142061281337047</v>
      </c>
      <c r="G32" s="70">
        <f t="shared" si="6"/>
        <v>0.958217270194986</v>
      </c>
      <c r="H32" s="30">
        <f t="shared" si="4"/>
        <v>1</v>
      </c>
      <c r="I32" s="71">
        <f>D32/H32</f>
        <v>1</v>
      </c>
      <c r="J32" s="21">
        <f t="shared" si="5"/>
        <v>0</v>
      </c>
      <c r="K32" s="21">
        <v>-0.5</v>
      </c>
      <c r="L32" s="17"/>
    </row>
    <row r="33" spans="1:12" ht="16.5">
      <c r="A33" s="58" t="s">
        <v>40</v>
      </c>
      <c r="B33" s="22">
        <f>VLOOKUP(A33,'[4]各一級人數'!$A$4:$B$47,2,0)</f>
        <v>130</v>
      </c>
      <c r="C33" s="68">
        <v>2</v>
      </c>
      <c r="D33" s="68">
        <v>2</v>
      </c>
      <c r="E33" s="60">
        <f t="shared" si="2"/>
        <v>0.015384615384615385</v>
      </c>
      <c r="F33" s="60">
        <f t="shared" si="0"/>
        <v>0.04526462395543175</v>
      </c>
      <c r="G33" s="61">
        <f>F33*$G$3</f>
        <v>3.8927576601671308</v>
      </c>
      <c r="H33" s="66">
        <f t="shared" si="4"/>
        <v>4</v>
      </c>
      <c r="I33" s="63">
        <f>D33/H33</f>
        <v>0.5</v>
      </c>
      <c r="J33" s="64">
        <f t="shared" si="5"/>
        <v>-2</v>
      </c>
      <c r="K33" s="65">
        <v>-2</v>
      </c>
      <c r="L33" s="17"/>
    </row>
    <row r="34" spans="1:12" ht="16.5">
      <c r="A34" s="3" t="s">
        <v>39</v>
      </c>
      <c r="B34" s="22">
        <v>93</v>
      </c>
      <c r="C34" s="33">
        <v>2</v>
      </c>
      <c r="D34" s="33">
        <v>3</v>
      </c>
      <c r="E34" s="23">
        <f t="shared" si="2"/>
        <v>0.03225806451612903</v>
      </c>
      <c r="F34" s="23">
        <f t="shared" si="0"/>
        <v>0.03238161559888579</v>
      </c>
      <c r="G34" s="24">
        <f t="shared" si="6"/>
        <v>2.784818941504178</v>
      </c>
      <c r="H34" s="30">
        <f>ROUND(G34,0)</f>
        <v>3</v>
      </c>
      <c r="I34" s="18">
        <f>D34/H34</f>
        <v>1</v>
      </c>
      <c r="J34" s="21">
        <f t="shared" si="5"/>
        <v>0</v>
      </c>
      <c r="K34" s="12">
        <v>1</v>
      </c>
      <c r="L34" s="17"/>
    </row>
    <row r="35" spans="1:12" s="37" customFormat="1" ht="33" customHeight="1">
      <c r="A35" s="44" t="s">
        <v>19</v>
      </c>
      <c r="B35" s="75" t="s">
        <v>66</v>
      </c>
      <c r="C35" s="76"/>
      <c r="D35" s="76"/>
      <c r="E35" s="76"/>
      <c r="F35" s="76"/>
      <c r="G35" s="76"/>
      <c r="H35" s="76"/>
      <c r="I35" s="76"/>
      <c r="J35" s="76"/>
      <c r="K35" s="77"/>
      <c r="L35" s="45"/>
    </row>
    <row r="36" spans="1:12" ht="17.25" customHeight="1">
      <c r="A36" s="3" t="s">
        <v>29</v>
      </c>
      <c r="B36" s="33">
        <f>SUM(B4:B34)</f>
        <v>2872</v>
      </c>
      <c r="C36" s="33">
        <f>SUM(C4:C34)</f>
        <v>75.5</v>
      </c>
      <c r="D36" s="33">
        <f>SUM(D4:D34)</f>
        <v>92.5</v>
      </c>
      <c r="E36" s="4"/>
      <c r="F36" s="4"/>
      <c r="G36" s="46"/>
      <c r="H36" s="5"/>
      <c r="I36" s="20"/>
      <c r="J36" s="14"/>
      <c r="K36" s="47"/>
      <c r="L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2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54"/>
    </row>
    <row r="42" spans="1:7" ht="16.5">
      <c r="A42" s="80" t="s">
        <v>65</v>
      </c>
      <c r="B42" s="80"/>
      <c r="C42" s="80"/>
      <c r="D42" s="80"/>
      <c r="E42" s="80"/>
      <c r="F42" s="80"/>
      <c r="G42" s="80"/>
    </row>
  </sheetData>
  <sheetProtection/>
  <mergeCells count="14"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  <mergeCell ref="K2:K3"/>
    <mergeCell ref="B35:K35"/>
    <mergeCell ref="A41:K41"/>
    <mergeCell ref="A42:G42"/>
  </mergeCells>
  <printOptions/>
  <pageMargins left="0.5118110236220472" right="0.3937007874015748" top="0.984251968503937" bottom="0.984251968503937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1">
      <selection activeCell="B35" sqref="B35:K35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9.625" style="50" customWidth="1"/>
    <col min="10" max="10" width="9.625" style="51" customWidth="1"/>
    <col min="11" max="12" width="9.625" style="42" customWidth="1"/>
    <col min="13" max="16384" width="9.00390625" style="1" customWidth="1"/>
  </cols>
  <sheetData>
    <row r="1" spans="1:13" ht="21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/>
      <c r="M1" s="39"/>
    </row>
    <row r="2" spans="1:12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23</v>
      </c>
      <c r="H2" s="90" t="s">
        <v>23</v>
      </c>
      <c r="I2" s="92" t="s">
        <v>51</v>
      </c>
      <c r="J2" s="73" t="s">
        <v>52</v>
      </c>
      <c r="K2" s="73" t="s">
        <v>45</v>
      </c>
      <c r="L2" s="41"/>
    </row>
    <row r="3" spans="1:12" s="42" customFormat="1" ht="68.25" customHeight="1">
      <c r="A3" s="82"/>
      <c r="B3" s="84"/>
      <c r="C3" s="84"/>
      <c r="D3" s="86"/>
      <c r="E3" s="87"/>
      <c r="F3" s="89"/>
      <c r="G3" s="15">
        <v>86</v>
      </c>
      <c r="H3" s="91"/>
      <c r="I3" s="93"/>
      <c r="J3" s="74"/>
      <c r="K3" s="74"/>
      <c r="L3" s="43"/>
    </row>
    <row r="4" spans="1:12" s="8" customFormat="1" ht="19.5" customHeight="1">
      <c r="A4" s="3" t="s">
        <v>2</v>
      </c>
      <c r="B4" s="22">
        <f>VLOOKUP(A4:A33,'[3]各單位人數'!$A:$B,2,0)-2.5</f>
        <v>207.5</v>
      </c>
      <c r="C4" s="22">
        <v>5.5</v>
      </c>
      <c r="D4" s="22">
        <v>8.5</v>
      </c>
      <c r="E4" s="23">
        <f>D4/B4</f>
        <v>0.04096385542168675</v>
      </c>
      <c r="F4" s="23">
        <f aca="true" t="shared" si="0" ref="F4:F34">B4/$B$36</f>
        <v>0.07170006910850034</v>
      </c>
      <c r="G4" s="24">
        <f>F4*$G$3</f>
        <v>6.166205943331029</v>
      </c>
      <c r="H4" s="25">
        <f>ROUND(G4,0)</f>
        <v>6</v>
      </c>
      <c r="I4" s="18">
        <f aca="true" t="shared" si="1" ref="I4:I26">D4/H4</f>
        <v>1.4166666666666667</v>
      </c>
      <c r="J4" s="21">
        <f>D4-H4</f>
        <v>2.5</v>
      </c>
      <c r="K4" s="12">
        <v>0.5</v>
      </c>
      <c r="L4" s="17"/>
    </row>
    <row r="5" spans="1:12" s="8" customFormat="1" ht="19.5" customHeight="1">
      <c r="A5" s="58" t="s">
        <v>3</v>
      </c>
      <c r="B5" s="59">
        <f>VLOOKUP(A5:A34,'[3]各單位人數'!$A:$B,2,0)-2.5</f>
        <v>724.5</v>
      </c>
      <c r="C5" s="59">
        <v>14.5</v>
      </c>
      <c r="D5" s="59">
        <v>15.5</v>
      </c>
      <c r="E5" s="60">
        <f aca="true" t="shared" si="2" ref="E5:E34">D5/B5</f>
        <v>0.02139406487232574</v>
      </c>
      <c r="F5" s="60">
        <f t="shared" si="0"/>
        <v>0.2503455425017277</v>
      </c>
      <c r="G5" s="61">
        <f aca="true" t="shared" si="3" ref="G5:G23">F5*$G$3</f>
        <v>21.529716655148583</v>
      </c>
      <c r="H5" s="62">
        <f aca="true" t="shared" si="4" ref="H5:H33">ROUND(G5,0)</f>
        <v>22</v>
      </c>
      <c r="I5" s="63">
        <f t="shared" si="1"/>
        <v>0.7045454545454546</v>
      </c>
      <c r="J5" s="64">
        <f aca="true" t="shared" si="5" ref="J5:J34">D5-H5</f>
        <v>-6.5</v>
      </c>
      <c r="K5" s="65">
        <v>-4.5</v>
      </c>
      <c r="L5" s="17"/>
    </row>
    <row r="6" spans="1:12" s="36" customFormat="1" ht="19.5" customHeight="1">
      <c r="A6" s="58" t="s">
        <v>4</v>
      </c>
      <c r="B6" s="59">
        <f>VLOOKUP(A6:A35,'[3]各單位人數'!$A:$B,2,0)-1</f>
        <v>161</v>
      </c>
      <c r="C6" s="59">
        <v>4.5</v>
      </c>
      <c r="D6" s="59">
        <v>4.5</v>
      </c>
      <c r="E6" s="60">
        <f t="shared" si="2"/>
        <v>0.027950310559006212</v>
      </c>
      <c r="F6" s="60">
        <f t="shared" si="0"/>
        <v>0.05563234277816172</v>
      </c>
      <c r="G6" s="61">
        <f t="shared" si="3"/>
        <v>4.784381478921907</v>
      </c>
      <c r="H6" s="62">
        <f t="shared" si="4"/>
        <v>5</v>
      </c>
      <c r="I6" s="63">
        <f t="shared" si="1"/>
        <v>0.9</v>
      </c>
      <c r="J6" s="64">
        <f t="shared" si="5"/>
        <v>-0.5</v>
      </c>
      <c r="K6" s="65">
        <v>-1.5</v>
      </c>
      <c r="L6" s="17"/>
    </row>
    <row r="7" spans="1:12" s="7" customFormat="1" ht="19.5" customHeight="1">
      <c r="A7" s="58" t="s">
        <v>5</v>
      </c>
      <c r="B7" s="59">
        <f>VLOOKUP(A7:A36,'[3]各單位人數'!$A:$B,2,0)-1.5</f>
        <v>258.5</v>
      </c>
      <c r="C7" s="59">
        <v>5.5</v>
      </c>
      <c r="D7" s="59">
        <v>5.5</v>
      </c>
      <c r="E7" s="60">
        <f t="shared" si="2"/>
        <v>0.02127659574468085</v>
      </c>
      <c r="F7" s="60">
        <f t="shared" si="0"/>
        <v>0.08932273669661368</v>
      </c>
      <c r="G7" s="61">
        <f t="shared" si="3"/>
        <v>7.681755355908777</v>
      </c>
      <c r="H7" s="62">
        <f t="shared" si="4"/>
        <v>8</v>
      </c>
      <c r="I7" s="63">
        <f t="shared" si="1"/>
        <v>0.6875</v>
      </c>
      <c r="J7" s="64">
        <f t="shared" si="5"/>
        <v>-2.5</v>
      </c>
      <c r="K7" s="65">
        <v>-2.5</v>
      </c>
      <c r="L7" s="17"/>
    </row>
    <row r="8" spans="1:12" ht="19.5" customHeight="1">
      <c r="A8" s="3" t="s">
        <v>6</v>
      </c>
      <c r="B8" s="22">
        <f>VLOOKUP(A8:A37,'[3]各單位人數'!$A:$B,2,0)</f>
        <v>155</v>
      </c>
      <c r="C8" s="22">
        <v>5</v>
      </c>
      <c r="D8" s="22">
        <v>5</v>
      </c>
      <c r="E8" s="23">
        <f t="shared" si="2"/>
        <v>0.03225806451612903</v>
      </c>
      <c r="F8" s="23">
        <f t="shared" si="0"/>
        <v>0.05355908776779544</v>
      </c>
      <c r="G8" s="24">
        <f>F8*$G$3</f>
        <v>4.606081548030407</v>
      </c>
      <c r="H8" s="25">
        <f t="shared" si="4"/>
        <v>5</v>
      </c>
      <c r="I8" s="18">
        <f t="shared" si="1"/>
        <v>1</v>
      </c>
      <c r="J8" s="12">
        <f t="shared" si="5"/>
        <v>0</v>
      </c>
      <c r="K8" s="12">
        <v>1</v>
      </c>
      <c r="L8" s="17"/>
    </row>
    <row r="9" spans="1:12" ht="19.5" customHeight="1">
      <c r="A9" s="58" t="s">
        <v>7</v>
      </c>
      <c r="B9" s="59">
        <f>VLOOKUP(A9:A38,'[3]各單位人數'!$A:$B,2,0)</f>
        <v>170</v>
      </c>
      <c r="C9" s="59">
        <v>3</v>
      </c>
      <c r="D9" s="59">
        <v>3</v>
      </c>
      <c r="E9" s="60">
        <f t="shared" si="2"/>
        <v>0.01764705882352941</v>
      </c>
      <c r="F9" s="60">
        <f t="shared" si="0"/>
        <v>0.05874222529371113</v>
      </c>
      <c r="G9" s="61">
        <f t="shared" si="3"/>
        <v>5.051831375259157</v>
      </c>
      <c r="H9" s="62">
        <f t="shared" si="4"/>
        <v>5</v>
      </c>
      <c r="I9" s="63">
        <f t="shared" si="1"/>
        <v>0.6</v>
      </c>
      <c r="J9" s="64">
        <f t="shared" si="5"/>
        <v>-2</v>
      </c>
      <c r="K9" s="65">
        <v>-1.5</v>
      </c>
      <c r="L9" s="17"/>
    </row>
    <row r="10" spans="1:12" ht="19.5" customHeight="1">
      <c r="A10" s="58" t="s">
        <v>26</v>
      </c>
      <c r="B10" s="59">
        <f>VLOOKUP(A10:A39,'[3]各單位人數'!$A:$B,2,0)-1</f>
        <v>230</v>
      </c>
      <c r="C10" s="59">
        <v>4</v>
      </c>
      <c r="D10" s="59">
        <v>5</v>
      </c>
      <c r="E10" s="60">
        <f t="shared" si="2"/>
        <v>0.021739130434782608</v>
      </c>
      <c r="F10" s="60">
        <f t="shared" si="0"/>
        <v>0.07947477539737388</v>
      </c>
      <c r="G10" s="61">
        <f>F10*$G$3</f>
        <v>6.834830684174154</v>
      </c>
      <c r="H10" s="62">
        <f t="shared" si="4"/>
        <v>7</v>
      </c>
      <c r="I10" s="63">
        <f t="shared" si="1"/>
        <v>0.7142857142857143</v>
      </c>
      <c r="J10" s="64">
        <f t="shared" si="5"/>
        <v>-2</v>
      </c>
      <c r="K10" s="65">
        <v>0</v>
      </c>
      <c r="L10" s="17"/>
    </row>
    <row r="11" spans="1:12" s="6" customFormat="1" ht="19.5" customHeight="1">
      <c r="A11" s="58" t="s">
        <v>28</v>
      </c>
      <c r="B11" s="59">
        <f>VLOOKUP(A11:A40,'[3]各單位人數'!$A:$B,2,0)</f>
        <v>61</v>
      </c>
      <c r="C11" s="59">
        <v>1</v>
      </c>
      <c r="D11" s="59">
        <v>1</v>
      </c>
      <c r="E11" s="60">
        <f t="shared" si="2"/>
        <v>0.01639344262295082</v>
      </c>
      <c r="F11" s="60">
        <f t="shared" si="0"/>
        <v>0.021078092605390463</v>
      </c>
      <c r="G11" s="61">
        <f t="shared" si="3"/>
        <v>1.81271596406358</v>
      </c>
      <c r="H11" s="62">
        <f t="shared" si="4"/>
        <v>2</v>
      </c>
      <c r="I11" s="63">
        <f t="shared" si="1"/>
        <v>0.5</v>
      </c>
      <c r="J11" s="64">
        <f t="shared" si="5"/>
        <v>-1</v>
      </c>
      <c r="K11" s="65">
        <v>-1</v>
      </c>
      <c r="L11" s="17"/>
    </row>
    <row r="12" spans="1:12" s="6" customFormat="1" ht="19.5" customHeight="1">
      <c r="A12" s="3" t="s">
        <v>34</v>
      </c>
      <c r="B12" s="22">
        <f>VLOOKUP(A12:A41,'[3]各單位人數'!$A:$B,2,0)-0.5</f>
        <v>103.5</v>
      </c>
      <c r="C12" s="22">
        <v>3.5</v>
      </c>
      <c r="D12" s="22">
        <v>4.5</v>
      </c>
      <c r="E12" s="23">
        <f t="shared" si="2"/>
        <v>0.043478260869565216</v>
      </c>
      <c r="F12" s="23">
        <f t="shared" si="0"/>
        <v>0.03576364892881825</v>
      </c>
      <c r="G12" s="24">
        <f>F12*$G$3</f>
        <v>3.075673807878369</v>
      </c>
      <c r="H12" s="25">
        <f t="shared" si="4"/>
        <v>3</v>
      </c>
      <c r="I12" s="18">
        <f t="shared" si="1"/>
        <v>1.5</v>
      </c>
      <c r="J12" s="12">
        <f t="shared" si="5"/>
        <v>1.5</v>
      </c>
      <c r="K12" s="12">
        <v>1.5</v>
      </c>
      <c r="L12" s="17"/>
    </row>
    <row r="13" spans="1:12" s="36" customFormat="1" ht="19.5" customHeight="1">
      <c r="A13" s="3" t="s">
        <v>8</v>
      </c>
      <c r="B13" s="22">
        <f>VLOOKUP(A13:A42,'[3]各單位人數'!$A:$B,2,0)-1</f>
        <v>27</v>
      </c>
      <c r="C13" s="22">
        <v>1</v>
      </c>
      <c r="D13" s="22">
        <v>1</v>
      </c>
      <c r="E13" s="23">
        <f t="shared" si="2"/>
        <v>0.037037037037037035</v>
      </c>
      <c r="F13" s="23">
        <f t="shared" si="0"/>
        <v>0.009329647546648237</v>
      </c>
      <c r="G13" s="24">
        <f t="shared" si="3"/>
        <v>0.8023496890117484</v>
      </c>
      <c r="H13" s="25">
        <f t="shared" si="4"/>
        <v>1</v>
      </c>
      <c r="I13" s="18">
        <f t="shared" si="1"/>
        <v>1</v>
      </c>
      <c r="J13" s="21">
        <f t="shared" si="5"/>
        <v>0</v>
      </c>
      <c r="K13" s="12">
        <v>0</v>
      </c>
      <c r="L13" s="17"/>
    </row>
    <row r="14" spans="1:12" ht="19.5" customHeight="1">
      <c r="A14" s="9" t="s">
        <v>36</v>
      </c>
      <c r="B14" s="22">
        <f>VLOOKUP(A14:A43,'[3]各單位人數'!$A:$B,2,0)</f>
        <v>4</v>
      </c>
      <c r="C14" s="22">
        <v>0</v>
      </c>
      <c r="D14" s="22">
        <v>0</v>
      </c>
      <c r="E14" s="23">
        <f t="shared" si="2"/>
        <v>0</v>
      </c>
      <c r="F14" s="23">
        <f t="shared" si="0"/>
        <v>0.00138217000691085</v>
      </c>
      <c r="G14" s="24">
        <f t="shared" si="3"/>
        <v>0.1188666205943331</v>
      </c>
      <c r="H14" s="30">
        <f t="shared" si="4"/>
        <v>0</v>
      </c>
      <c r="I14" s="18" t="s">
        <v>43</v>
      </c>
      <c r="J14" s="12">
        <f t="shared" si="5"/>
        <v>0</v>
      </c>
      <c r="K14" s="12">
        <v>0</v>
      </c>
      <c r="L14" s="17"/>
    </row>
    <row r="15" spans="1:12" s="37" customFormat="1" ht="19.5" customHeight="1">
      <c r="A15" s="3" t="s">
        <v>9</v>
      </c>
      <c r="B15" s="22">
        <f>VLOOKUP(A15:A44,'[3]各單位人數'!$A:$B,2,0)-2</f>
        <v>97</v>
      </c>
      <c r="C15" s="22">
        <v>3</v>
      </c>
      <c r="D15" s="22">
        <v>4</v>
      </c>
      <c r="E15" s="23">
        <f t="shared" si="2"/>
        <v>0.041237113402061855</v>
      </c>
      <c r="F15" s="23">
        <f t="shared" si="0"/>
        <v>0.033517622667588114</v>
      </c>
      <c r="G15" s="24">
        <f t="shared" si="3"/>
        <v>2.882515549412578</v>
      </c>
      <c r="H15" s="30">
        <f t="shared" si="4"/>
        <v>3</v>
      </c>
      <c r="I15" s="18">
        <f t="shared" si="1"/>
        <v>1.3333333333333333</v>
      </c>
      <c r="J15" s="21">
        <f t="shared" si="5"/>
        <v>1</v>
      </c>
      <c r="K15" s="12">
        <v>1</v>
      </c>
      <c r="L15" s="17"/>
    </row>
    <row r="16" spans="1:12" ht="19.5" customHeight="1">
      <c r="A16" s="3" t="s">
        <v>42</v>
      </c>
      <c r="B16" s="22">
        <f>VLOOKUP(A16:A45,'[3]各單位人數'!$A:$B,2,0)</f>
        <v>92</v>
      </c>
      <c r="C16" s="22">
        <v>3</v>
      </c>
      <c r="D16" s="22">
        <v>4</v>
      </c>
      <c r="E16" s="23">
        <f t="shared" si="2"/>
        <v>0.043478260869565216</v>
      </c>
      <c r="F16" s="23">
        <f t="shared" si="0"/>
        <v>0.03178991015894955</v>
      </c>
      <c r="G16" s="24">
        <f>F16*$G$3</f>
        <v>2.7339322736696614</v>
      </c>
      <c r="H16" s="30">
        <f t="shared" si="4"/>
        <v>3</v>
      </c>
      <c r="I16" s="18">
        <f t="shared" si="1"/>
        <v>1.3333333333333333</v>
      </c>
      <c r="J16" s="12">
        <f t="shared" si="5"/>
        <v>1</v>
      </c>
      <c r="K16" s="12">
        <v>2</v>
      </c>
      <c r="L16" s="17"/>
    </row>
    <row r="17" spans="1:12" ht="19.5" customHeight="1">
      <c r="A17" s="3" t="s">
        <v>10</v>
      </c>
      <c r="B17" s="22">
        <f>VLOOKUP(A17:A46,'[3]各單位人數'!$A:$B,2,0)</f>
        <v>48</v>
      </c>
      <c r="C17" s="22">
        <v>2</v>
      </c>
      <c r="D17" s="22">
        <v>4</v>
      </c>
      <c r="E17" s="23">
        <f t="shared" si="2"/>
        <v>0.08333333333333333</v>
      </c>
      <c r="F17" s="23">
        <f t="shared" si="0"/>
        <v>0.0165860400829302</v>
      </c>
      <c r="G17" s="24">
        <f t="shared" si="3"/>
        <v>1.4263994471319972</v>
      </c>
      <c r="H17" s="30">
        <f t="shared" si="4"/>
        <v>1</v>
      </c>
      <c r="I17" s="18">
        <f t="shared" si="1"/>
        <v>4</v>
      </c>
      <c r="J17" s="12">
        <f t="shared" si="5"/>
        <v>3</v>
      </c>
      <c r="K17" s="12">
        <v>3</v>
      </c>
      <c r="L17" s="17"/>
    </row>
    <row r="18" spans="1:12" s="37" customFormat="1" ht="19.5" customHeight="1">
      <c r="A18" s="3" t="s">
        <v>11</v>
      </c>
      <c r="B18" s="22">
        <f>VLOOKUP(A18:A47,'[3]各單位人數'!$A:$B,2,0)</f>
        <v>43</v>
      </c>
      <c r="C18" s="22">
        <v>1</v>
      </c>
      <c r="D18" s="22">
        <v>2</v>
      </c>
      <c r="E18" s="23">
        <f t="shared" si="2"/>
        <v>0.046511627906976744</v>
      </c>
      <c r="F18" s="23">
        <f t="shared" si="0"/>
        <v>0.014858327574291638</v>
      </c>
      <c r="G18" s="24">
        <f t="shared" si="3"/>
        <v>1.2778161713890808</v>
      </c>
      <c r="H18" s="30">
        <f t="shared" si="4"/>
        <v>1</v>
      </c>
      <c r="I18" s="18">
        <f t="shared" si="1"/>
        <v>2</v>
      </c>
      <c r="J18" s="12">
        <f t="shared" si="5"/>
        <v>1</v>
      </c>
      <c r="K18" s="12">
        <v>1</v>
      </c>
      <c r="L18" s="17"/>
    </row>
    <row r="19" spans="1:12" ht="19.5" customHeight="1">
      <c r="A19" s="58" t="s">
        <v>12</v>
      </c>
      <c r="B19" s="59">
        <f>VLOOKUP(A19:A48,'[3]各單位人數'!$A:$B,2,0)</f>
        <v>19</v>
      </c>
      <c r="C19" s="59">
        <v>0</v>
      </c>
      <c r="D19" s="59">
        <v>0</v>
      </c>
      <c r="E19" s="60">
        <f t="shared" si="2"/>
        <v>0</v>
      </c>
      <c r="F19" s="60">
        <f t="shared" si="0"/>
        <v>0.0065653075328265375</v>
      </c>
      <c r="G19" s="61">
        <f t="shared" si="3"/>
        <v>0.5646164478230822</v>
      </c>
      <c r="H19" s="66">
        <f t="shared" si="4"/>
        <v>1</v>
      </c>
      <c r="I19" s="63">
        <f t="shared" si="1"/>
        <v>0</v>
      </c>
      <c r="J19" s="64">
        <f t="shared" si="5"/>
        <v>-1</v>
      </c>
      <c r="K19" s="65">
        <v>-1</v>
      </c>
      <c r="L19" s="17"/>
    </row>
    <row r="20" spans="1:12" ht="18.75" customHeight="1">
      <c r="A20" s="3" t="s">
        <v>32</v>
      </c>
      <c r="B20" s="22">
        <f>VLOOKUP(A20:A49,'[3]各單位人數'!$A:$B,2,0)</f>
        <v>26</v>
      </c>
      <c r="C20" s="22">
        <v>1</v>
      </c>
      <c r="D20" s="22">
        <v>1</v>
      </c>
      <c r="E20" s="23">
        <f t="shared" si="2"/>
        <v>0.038461538461538464</v>
      </c>
      <c r="F20" s="23">
        <f t="shared" si="0"/>
        <v>0.008984105044920525</v>
      </c>
      <c r="G20" s="24">
        <f>F20*$G$3</f>
        <v>0.7726330338631652</v>
      </c>
      <c r="H20" s="30">
        <f t="shared" si="4"/>
        <v>1</v>
      </c>
      <c r="I20" s="18">
        <f t="shared" si="1"/>
        <v>1</v>
      </c>
      <c r="J20" s="12">
        <f t="shared" si="5"/>
        <v>0</v>
      </c>
      <c r="K20" s="12">
        <v>0</v>
      </c>
      <c r="L20" s="17"/>
    </row>
    <row r="21" spans="1:12" ht="19.5" customHeight="1">
      <c r="A21" s="3" t="s">
        <v>13</v>
      </c>
      <c r="B21" s="22">
        <f>VLOOKUP(A21:A50,'[3]各單位人數'!$A:$B,2,0)</f>
        <v>39</v>
      </c>
      <c r="C21" s="22">
        <v>2</v>
      </c>
      <c r="D21" s="22">
        <v>3</v>
      </c>
      <c r="E21" s="23">
        <f t="shared" si="2"/>
        <v>0.07692307692307693</v>
      </c>
      <c r="F21" s="23">
        <f t="shared" si="0"/>
        <v>0.013476157567380787</v>
      </c>
      <c r="G21" s="24">
        <f t="shared" si="3"/>
        <v>1.1589495507947476</v>
      </c>
      <c r="H21" s="30">
        <f t="shared" si="4"/>
        <v>1</v>
      </c>
      <c r="I21" s="18">
        <f t="shared" si="1"/>
        <v>3</v>
      </c>
      <c r="J21" s="12">
        <f t="shared" si="5"/>
        <v>2</v>
      </c>
      <c r="K21" s="12">
        <v>2</v>
      </c>
      <c r="L21" s="17"/>
    </row>
    <row r="22" spans="1:12" s="8" customFormat="1" ht="19.5" customHeight="1">
      <c r="A22" s="58" t="s">
        <v>14</v>
      </c>
      <c r="B22" s="59">
        <f>VLOOKUP(A22:A51,'[3]各單位人數'!$A:$B,2,0)</f>
        <v>22</v>
      </c>
      <c r="C22" s="59">
        <v>0</v>
      </c>
      <c r="D22" s="59">
        <v>0</v>
      </c>
      <c r="E22" s="60">
        <f t="shared" si="2"/>
        <v>0</v>
      </c>
      <c r="F22" s="60">
        <f t="shared" si="0"/>
        <v>0.007601935038009675</v>
      </c>
      <c r="G22" s="61">
        <f>F22*$G$3</f>
        <v>0.653766413268832</v>
      </c>
      <c r="H22" s="66">
        <f t="shared" si="4"/>
        <v>1</v>
      </c>
      <c r="I22" s="63">
        <f t="shared" si="1"/>
        <v>0</v>
      </c>
      <c r="J22" s="64">
        <f t="shared" si="5"/>
        <v>-1</v>
      </c>
      <c r="K22" s="65">
        <v>-1</v>
      </c>
      <c r="L22" s="17"/>
    </row>
    <row r="23" spans="1:12" ht="19.5" customHeight="1">
      <c r="A23" s="3" t="s">
        <v>15</v>
      </c>
      <c r="B23" s="22">
        <f>VLOOKUP(A23:A52,'[3]各單位人數'!$A:$B,2,0)</f>
        <v>28</v>
      </c>
      <c r="C23" s="22">
        <v>2</v>
      </c>
      <c r="D23" s="22">
        <v>3</v>
      </c>
      <c r="E23" s="23">
        <f t="shared" si="2"/>
        <v>0.10714285714285714</v>
      </c>
      <c r="F23" s="23">
        <f t="shared" si="0"/>
        <v>0.009675190048375951</v>
      </c>
      <c r="G23" s="24">
        <f t="shared" si="3"/>
        <v>0.8320663441603318</v>
      </c>
      <c r="H23" s="30">
        <f t="shared" si="4"/>
        <v>1</v>
      </c>
      <c r="I23" s="18">
        <f t="shared" si="1"/>
        <v>3</v>
      </c>
      <c r="J23" s="12">
        <f t="shared" si="5"/>
        <v>2</v>
      </c>
      <c r="K23" s="12">
        <v>2</v>
      </c>
      <c r="L23" s="17"/>
    </row>
    <row r="24" spans="1:12" ht="19.5" customHeight="1">
      <c r="A24" s="3" t="s">
        <v>16</v>
      </c>
      <c r="B24" s="22">
        <f>VLOOKUP(A24:A53,'[3]各單位人數'!$A:$B,2,0)-0.5</f>
        <v>31.5</v>
      </c>
      <c r="C24" s="22">
        <v>8.5</v>
      </c>
      <c r="D24" s="22">
        <v>11.5</v>
      </c>
      <c r="E24" s="23">
        <f t="shared" si="2"/>
        <v>0.36507936507936506</v>
      </c>
      <c r="F24" s="23">
        <f t="shared" si="0"/>
        <v>0.010884588804422944</v>
      </c>
      <c r="G24" s="24">
        <f>F24*$G$3</f>
        <v>0.9360746371803732</v>
      </c>
      <c r="H24" s="30">
        <f t="shared" si="4"/>
        <v>1</v>
      </c>
      <c r="I24" s="18">
        <f t="shared" si="1"/>
        <v>11.5</v>
      </c>
      <c r="J24" s="12">
        <f t="shared" si="5"/>
        <v>10.5</v>
      </c>
      <c r="K24" s="12">
        <v>10</v>
      </c>
      <c r="L24" s="17"/>
    </row>
    <row r="25" spans="1:12" s="7" customFormat="1" ht="19.5" customHeight="1">
      <c r="A25" s="58" t="s">
        <v>25</v>
      </c>
      <c r="B25" s="59">
        <f>VLOOKUP(A25:A54,'[3]各單位人數'!$A:$B,2,0)</f>
        <v>30</v>
      </c>
      <c r="C25" s="59">
        <v>0</v>
      </c>
      <c r="D25" s="59">
        <v>0</v>
      </c>
      <c r="E25" s="60">
        <f t="shared" si="2"/>
        <v>0</v>
      </c>
      <c r="F25" s="60">
        <f t="shared" si="0"/>
        <v>0.010366275051831375</v>
      </c>
      <c r="G25" s="61">
        <f>F25*$G$3</f>
        <v>0.8914996544574982</v>
      </c>
      <c r="H25" s="62">
        <f t="shared" si="4"/>
        <v>1</v>
      </c>
      <c r="I25" s="63">
        <f t="shared" si="1"/>
        <v>0</v>
      </c>
      <c r="J25" s="64">
        <f t="shared" si="5"/>
        <v>-1</v>
      </c>
      <c r="K25" s="65">
        <v>-1</v>
      </c>
      <c r="L25" s="17"/>
    </row>
    <row r="26" spans="1:12" ht="19.5" customHeight="1">
      <c r="A26" s="67" t="s">
        <v>47</v>
      </c>
      <c r="B26" s="59">
        <f>VLOOKUP(A26:A55,'[3]各單位人數'!$A:$B,2,0)</f>
        <v>35</v>
      </c>
      <c r="C26" s="59">
        <v>0</v>
      </c>
      <c r="D26" s="59">
        <v>0</v>
      </c>
      <c r="E26" s="60">
        <f t="shared" si="2"/>
        <v>0</v>
      </c>
      <c r="F26" s="60">
        <f t="shared" si="0"/>
        <v>0.012093987560469938</v>
      </c>
      <c r="G26" s="61">
        <f aca="true" t="shared" si="6" ref="G26:G34">F26*$G$3</f>
        <v>1.0400829302004146</v>
      </c>
      <c r="H26" s="66">
        <f t="shared" si="4"/>
        <v>1</v>
      </c>
      <c r="I26" s="63">
        <f t="shared" si="1"/>
        <v>0</v>
      </c>
      <c r="J26" s="64">
        <f t="shared" si="5"/>
        <v>-1</v>
      </c>
      <c r="K26" s="65">
        <v>-1</v>
      </c>
      <c r="L26" s="17"/>
    </row>
    <row r="27" spans="1:12" ht="19.5" customHeight="1">
      <c r="A27" s="3" t="s">
        <v>17</v>
      </c>
      <c r="B27" s="22">
        <f>VLOOKUP(A27:A56,'[3]各單位人數'!$A:$B,2,0)</f>
        <v>2</v>
      </c>
      <c r="C27" s="22">
        <v>0</v>
      </c>
      <c r="D27" s="22">
        <v>0</v>
      </c>
      <c r="E27" s="23">
        <f t="shared" si="2"/>
        <v>0</v>
      </c>
      <c r="F27" s="23">
        <f t="shared" si="0"/>
        <v>0.000691085003455425</v>
      </c>
      <c r="G27" s="24">
        <f t="shared" si="6"/>
        <v>0.05943331029716655</v>
      </c>
      <c r="H27" s="30">
        <f t="shared" si="4"/>
        <v>0</v>
      </c>
      <c r="I27" s="18" t="s">
        <v>43</v>
      </c>
      <c r="J27" s="12">
        <f t="shared" si="5"/>
        <v>0</v>
      </c>
      <c r="K27" s="12">
        <v>0</v>
      </c>
      <c r="L27" s="17"/>
    </row>
    <row r="28" spans="1:12" ht="19.5" customHeight="1">
      <c r="A28" s="3" t="s">
        <v>18</v>
      </c>
      <c r="B28" s="22">
        <f>VLOOKUP(A28:A57,'[3]各單位人數'!$A:$B,2,0)</f>
        <v>1</v>
      </c>
      <c r="C28" s="22">
        <v>0</v>
      </c>
      <c r="D28" s="22">
        <v>0</v>
      </c>
      <c r="E28" s="23">
        <f t="shared" si="2"/>
        <v>0</v>
      </c>
      <c r="F28" s="23">
        <f t="shared" si="0"/>
        <v>0.0003455425017277125</v>
      </c>
      <c r="G28" s="24">
        <f t="shared" si="6"/>
        <v>0.029716655148583276</v>
      </c>
      <c r="H28" s="30">
        <f t="shared" si="4"/>
        <v>0</v>
      </c>
      <c r="I28" s="18" t="s">
        <v>43</v>
      </c>
      <c r="J28" s="12">
        <f t="shared" si="5"/>
        <v>0</v>
      </c>
      <c r="K28" s="12">
        <v>0</v>
      </c>
      <c r="L28" s="17"/>
    </row>
    <row r="29" spans="1:12" ht="19.5" customHeight="1">
      <c r="A29" s="34" t="s">
        <v>48</v>
      </c>
      <c r="B29" s="22">
        <f>VLOOKUP(A29:A58,'[3]各單位人數'!$A:$B,2,0)</f>
        <v>16</v>
      </c>
      <c r="C29" s="22">
        <v>0</v>
      </c>
      <c r="D29" s="22">
        <v>0</v>
      </c>
      <c r="E29" s="23">
        <f t="shared" si="2"/>
        <v>0</v>
      </c>
      <c r="F29" s="23">
        <f t="shared" si="0"/>
        <v>0.0055286800276434</v>
      </c>
      <c r="G29" s="24">
        <f>F29*$G$3</f>
        <v>0.4754664823773324</v>
      </c>
      <c r="H29" s="30">
        <f t="shared" si="4"/>
        <v>0</v>
      </c>
      <c r="I29" s="18" t="s">
        <v>43</v>
      </c>
      <c r="J29" s="12">
        <f t="shared" si="5"/>
        <v>0</v>
      </c>
      <c r="K29" s="12">
        <v>0</v>
      </c>
      <c r="L29" s="17"/>
    </row>
    <row r="30" spans="1:12" ht="16.5">
      <c r="A30" s="9" t="s">
        <v>38</v>
      </c>
      <c r="B30" s="22">
        <f>VLOOKUP(A30:A59,'[3]各單位人數'!$A:$B,2,0)</f>
        <v>6</v>
      </c>
      <c r="C30" s="22">
        <v>0</v>
      </c>
      <c r="D30" s="22">
        <v>0</v>
      </c>
      <c r="E30" s="23">
        <f t="shared" si="2"/>
        <v>0</v>
      </c>
      <c r="F30" s="23">
        <f t="shared" si="0"/>
        <v>0.002073255010366275</v>
      </c>
      <c r="G30" s="24">
        <f t="shared" si="6"/>
        <v>0.17829993089149965</v>
      </c>
      <c r="H30" s="30">
        <f t="shared" si="4"/>
        <v>0</v>
      </c>
      <c r="I30" s="18" t="s">
        <v>43</v>
      </c>
      <c r="J30" s="12">
        <f t="shared" si="5"/>
        <v>0</v>
      </c>
      <c r="K30" s="12">
        <v>0</v>
      </c>
      <c r="L30" s="17"/>
    </row>
    <row r="31" spans="1:12" s="8" customFormat="1" ht="16.5">
      <c r="A31" s="58" t="s">
        <v>33</v>
      </c>
      <c r="B31" s="59">
        <f>VLOOKUP(A31:A60,'[3]各單位人數'!$A:$B,2,0)</f>
        <v>28</v>
      </c>
      <c r="C31" s="59">
        <v>0</v>
      </c>
      <c r="D31" s="59">
        <v>0</v>
      </c>
      <c r="E31" s="60">
        <f t="shared" si="2"/>
        <v>0</v>
      </c>
      <c r="F31" s="60">
        <f t="shared" si="0"/>
        <v>0.009675190048375951</v>
      </c>
      <c r="G31" s="61">
        <f>F31*$G$3</f>
        <v>0.8320663441603318</v>
      </c>
      <c r="H31" s="66">
        <f t="shared" si="4"/>
        <v>1</v>
      </c>
      <c r="I31" s="63">
        <f>D31/H31</f>
        <v>0</v>
      </c>
      <c r="J31" s="64">
        <f t="shared" si="5"/>
        <v>-1</v>
      </c>
      <c r="K31" s="65">
        <v>-1</v>
      </c>
      <c r="L31" s="17"/>
    </row>
    <row r="32" spans="1:12" s="8" customFormat="1" ht="16.5">
      <c r="A32" s="58" t="s">
        <v>37</v>
      </c>
      <c r="B32" s="59">
        <f>VLOOKUP(A32:A61,'[3]各單位人數'!$A:$B,2,0)-0.5</f>
        <v>31.5</v>
      </c>
      <c r="C32" s="59">
        <v>0.5</v>
      </c>
      <c r="D32" s="59">
        <v>0.5</v>
      </c>
      <c r="E32" s="60">
        <f t="shared" si="2"/>
        <v>0.015873015873015872</v>
      </c>
      <c r="F32" s="60">
        <f t="shared" si="0"/>
        <v>0.010884588804422944</v>
      </c>
      <c r="G32" s="61">
        <f t="shared" si="6"/>
        <v>0.9360746371803732</v>
      </c>
      <c r="H32" s="66">
        <f t="shared" si="4"/>
        <v>1</v>
      </c>
      <c r="I32" s="63">
        <f>D32/H32</f>
        <v>0.5</v>
      </c>
      <c r="J32" s="64">
        <f t="shared" si="5"/>
        <v>-0.5</v>
      </c>
      <c r="K32" s="65">
        <v>-1</v>
      </c>
      <c r="L32" s="17"/>
    </row>
    <row r="33" spans="1:12" ht="16.5">
      <c r="A33" s="58" t="s">
        <v>40</v>
      </c>
      <c r="B33" s="59">
        <f>VLOOKUP(A33:A62,'[3]各單位人數'!$A:$B,2,0)</f>
        <v>127</v>
      </c>
      <c r="C33" s="68">
        <v>2</v>
      </c>
      <c r="D33" s="68">
        <v>2</v>
      </c>
      <c r="E33" s="60">
        <f t="shared" si="2"/>
        <v>0.015748031496062992</v>
      </c>
      <c r="F33" s="60">
        <f t="shared" si="0"/>
        <v>0.04388389771941949</v>
      </c>
      <c r="G33" s="61">
        <f>F33*$G$3</f>
        <v>3.774015203870076</v>
      </c>
      <c r="H33" s="66">
        <f t="shared" si="4"/>
        <v>4</v>
      </c>
      <c r="I33" s="63">
        <f>D33/H33</f>
        <v>0.5</v>
      </c>
      <c r="J33" s="64">
        <f t="shared" si="5"/>
        <v>-2</v>
      </c>
      <c r="K33" s="65">
        <v>-2</v>
      </c>
      <c r="L33" s="17"/>
    </row>
    <row r="34" spans="1:12" ht="16.5">
      <c r="A34" s="3" t="s">
        <v>39</v>
      </c>
      <c r="B34" s="22">
        <f>68+2</f>
        <v>70</v>
      </c>
      <c r="C34" s="33">
        <v>2</v>
      </c>
      <c r="D34" s="33">
        <v>3</v>
      </c>
      <c r="E34" s="23">
        <f t="shared" si="2"/>
        <v>0.04285714285714286</v>
      </c>
      <c r="F34" s="23">
        <f t="shared" si="0"/>
        <v>0.024187975120939877</v>
      </c>
      <c r="G34" s="24">
        <f t="shared" si="6"/>
        <v>2.0801658604008293</v>
      </c>
      <c r="H34" s="30">
        <f>ROUND(G34,0)</f>
        <v>2</v>
      </c>
      <c r="I34" s="18">
        <f>D34/H34</f>
        <v>1.5</v>
      </c>
      <c r="J34" s="21">
        <f t="shared" si="5"/>
        <v>1</v>
      </c>
      <c r="K34" s="12">
        <v>1</v>
      </c>
      <c r="L34" s="17"/>
    </row>
    <row r="35" spans="1:12" s="37" customFormat="1" ht="33" customHeight="1">
      <c r="A35" s="44" t="s">
        <v>19</v>
      </c>
      <c r="B35" s="75" t="s">
        <v>63</v>
      </c>
      <c r="C35" s="76"/>
      <c r="D35" s="76"/>
      <c r="E35" s="76"/>
      <c r="F35" s="76"/>
      <c r="G35" s="76"/>
      <c r="H35" s="76"/>
      <c r="I35" s="76"/>
      <c r="J35" s="76"/>
      <c r="K35" s="77"/>
      <c r="L35" s="45"/>
    </row>
    <row r="36" spans="1:12" ht="17.25" customHeight="1">
      <c r="A36" s="3" t="s">
        <v>29</v>
      </c>
      <c r="B36" s="33">
        <f>SUM(B4:B34)</f>
        <v>2894</v>
      </c>
      <c r="C36" s="33">
        <f>SUM(C4:C34)</f>
        <v>74.5</v>
      </c>
      <c r="D36" s="33">
        <f>SUM(D4:D34)</f>
        <v>91.5</v>
      </c>
      <c r="E36" s="4"/>
      <c r="F36" s="4"/>
      <c r="G36" s="46"/>
      <c r="H36" s="5"/>
      <c r="I36" s="20"/>
      <c r="J36" s="14"/>
      <c r="K36" s="47"/>
      <c r="L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2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54"/>
    </row>
    <row r="42" spans="1:7" ht="16.5">
      <c r="A42" s="80" t="s">
        <v>62</v>
      </c>
      <c r="B42" s="80"/>
      <c r="C42" s="80"/>
      <c r="D42" s="80"/>
      <c r="E42" s="80"/>
      <c r="F42" s="80"/>
      <c r="G42" s="80"/>
    </row>
  </sheetData>
  <sheetProtection/>
  <mergeCells count="14">
    <mergeCell ref="K2:K3"/>
    <mergeCell ref="B35:K35"/>
    <mergeCell ref="A41:K41"/>
    <mergeCell ref="A42:G42"/>
    <mergeCell ref="A1:K1"/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rintOptions/>
  <pageMargins left="0.5118110236220472" right="0.3937007874015748" top="0.984251968503937" bottom="0.984251968503937" header="0.31496062992125984" footer="0.31496062992125984"/>
  <pageSetup fitToHeight="0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="90" zoomScaleSheetLayoutView="90" zoomScalePageLayoutView="0" workbookViewId="0" topLeftCell="A1">
      <selection activeCell="P24" sqref="P24"/>
    </sheetView>
  </sheetViews>
  <sheetFormatPr defaultColWidth="9.00390625" defaultRowHeight="16.5"/>
  <cols>
    <col min="1" max="1" width="21.50390625" style="8" customWidth="1"/>
    <col min="2" max="3" width="9.375" style="1" customWidth="1"/>
    <col min="4" max="4" width="9.75390625" style="1" customWidth="1"/>
    <col min="5" max="5" width="11.75390625" style="8" customWidth="1"/>
    <col min="6" max="6" width="11.625" style="8" customWidth="1"/>
    <col min="7" max="7" width="10.375" style="1" customWidth="1"/>
    <col min="8" max="8" width="8.75390625" style="8" customWidth="1"/>
    <col min="9" max="9" width="9.625" style="50" customWidth="1"/>
    <col min="10" max="10" width="9.625" style="51" customWidth="1"/>
    <col min="11" max="12" width="9.625" style="42" customWidth="1"/>
    <col min="13" max="16384" width="9.00390625" style="1" customWidth="1"/>
  </cols>
  <sheetData>
    <row r="1" spans="1:13" ht="21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8"/>
      <c r="M1" s="39"/>
    </row>
    <row r="2" spans="1:12" s="42" customFormat="1" ht="48.75" customHeight="1">
      <c r="A2" s="82"/>
      <c r="B2" s="83" t="s">
        <v>0</v>
      </c>
      <c r="C2" s="83" t="s">
        <v>27</v>
      </c>
      <c r="D2" s="85" t="s">
        <v>30</v>
      </c>
      <c r="E2" s="85" t="s">
        <v>31</v>
      </c>
      <c r="F2" s="88" t="s">
        <v>1</v>
      </c>
      <c r="G2" s="40" t="s">
        <v>24</v>
      </c>
      <c r="H2" s="90" t="s">
        <v>23</v>
      </c>
      <c r="I2" s="92" t="s">
        <v>46</v>
      </c>
      <c r="J2" s="73" t="s">
        <v>45</v>
      </c>
      <c r="K2" s="73" t="s">
        <v>44</v>
      </c>
      <c r="L2" s="41"/>
    </row>
    <row r="3" spans="1:12" s="42" customFormat="1" ht="68.25" customHeight="1">
      <c r="A3" s="82"/>
      <c r="B3" s="84"/>
      <c r="C3" s="84"/>
      <c r="D3" s="86"/>
      <c r="E3" s="87"/>
      <c r="F3" s="89"/>
      <c r="G3" s="15">
        <v>80</v>
      </c>
      <c r="H3" s="91"/>
      <c r="I3" s="93"/>
      <c r="J3" s="74"/>
      <c r="K3" s="74"/>
      <c r="L3" s="43"/>
    </row>
    <row r="4" spans="1:12" s="8" customFormat="1" ht="19.5" customHeight="1">
      <c r="A4" s="3" t="s">
        <v>2</v>
      </c>
      <c r="B4" s="22">
        <f>VLOOKUP(A4:A34,'[1]各單位人數'!$A$5:$B$47,2,0)-2.5</f>
        <v>199.5</v>
      </c>
      <c r="C4" s="22">
        <v>4.5</v>
      </c>
      <c r="D4" s="22">
        <v>6.5</v>
      </c>
      <c r="E4" s="23">
        <f>D4/B4</f>
        <v>0.03258145363408521</v>
      </c>
      <c r="F4" s="23">
        <f aca="true" t="shared" si="0" ref="F4:F34">B4/$B$36</f>
        <v>0.07413600891861762</v>
      </c>
      <c r="G4" s="24">
        <f>F4*$G$3</f>
        <v>5.930880713489409</v>
      </c>
      <c r="H4" s="25">
        <f>ROUND(G4,0)</f>
        <v>6</v>
      </c>
      <c r="I4" s="18">
        <f aca="true" t="shared" si="1" ref="I4:I12">D4/H4</f>
        <v>1.0833333333333333</v>
      </c>
      <c r="J4" s="21">
        <f>D4-H4</f>
        <v>0.5</v>
      </c>
      <c r="K4" s="12">
        <v>0</v>
      </c>
      <c r="L4" s="17"/>
    </row>
    <row r="5" spans="1:12" s="8" customFormat="1" ht="19.5" customHeight="1">
      <c r="A5" s="10" t="s">
        <v>3</v>
      </c>
      <c r="B5" s="26">
        <f>VLOOKUP(A5:A35,'[1]各單位人數'!$A$5:$B$47,2,0)-2.5</f>
        <v>665.5</v>
      </c>
      <c r="C5" s="26">
        <v>14.5</v>
      </c>
      <c r="D5" s="26">
        <v>15.5</v>
      </c>
      <c r="E5" s="27">
        <f aca="true" t="shared" si="2" ref="E5:E34">D5/B5</f>
        <v>0.02329075882794891</v>
      </c>
      <c r="F5" s="27">
        <f t="shared" si="0"/>
        <v>0.247305834262356</v>
      </c>
      <c r="G5" s="28">
        <f aca="true" t="shared" si="3" ref="G5:G23">F5*$G$3</f>
        <v>19.78446674098848</v>
      </c>
      <c r="H5" s="29">
        <f aca="true" t="shared" si="4" ref="H5:H33">ROUND(G5,0)</f>
        <v>20</v>
      </c>
      <c r="I5" s="19">
        <f t="shared" si="1"/>
        <v>0.775</v>
      </c>
      <c r="J5" s="16">
        <f aca="true" t="shared" si="5" ref="J5:J34">D5-H5</f>
        <v>-4.5</v>
      </c>
      <c r="K5" s="13">
        <v>-4</v>
      </c>
      <c r="L5" s="17"/>
    </row>
    <row r="6" spans="1:12" s="36" customFormat="1" ht="19.5" customHeight="1">
      <c r="A6" s="10" t="s">
        <v>4</v>
      </c>
      <c r="B6" s="26">
        <f>VLOOKUP(A6:A36,'[1]各單位人數'!$A$5:$B$47,2,0)-0.5+1</f>
        <v>151.5</v>
      </c>
      <c r="C6" s="26">
        <v>3.5</v>
      </c>
      <c r="D6" s="26">
        <v>3.5</v>
      </c>
      <c r="E6" s="27">
        <f t="shared" si="2"/>
        <v>0.0231023102310231</v>
      </c>
      <c r="F6" s="27">
        <f t="shared" si="0"/>
        <v>0.05629877369007804</v>
      </c>
      <c r="G6" s="28">
        <f t="shared" si="3"/>
        <v>4.503901895206243</v>
      </c>
      <c r="H6" s="29">
        <f t="shared" si="4"/>
        <v>5</v>
      </c>
      <c r="I6" s="19">
        <f t="shared" si="1"/>
        <v>0.7</v>
      </c>
      <c r="J6" s="16">
        <f t="shared" si="5"/>
        <v>-1.5</v>
      </c>
      <c r="K6" s="13">
        <v>-0.5</v>
      </c>
      <c r="L6" s="17"/>
    </row>
    <row r="7" spans="1:12" s="7" customFormat="1" ht="19.5" customHeight="1">
      <c r="A7" s="10" t="s">
        <v>5</v>
      </c>
      <c r="B7" s="26">
        <f>VLOOKUP(A7:A37,'[1]各單位人數'!$A$5:$B$47,2,0)-1.5+1</f>
        <v>258.5</v>
      </c>
      <c r="C7" s="26">
        <v>4.5</v>
      </c>
      <c r="D7" s="26">
        <v>5.5</v>
      </c>
      <c r="E7" s="27">
        <f t="shared" si="2"/>
        <v>0.02127659574468085</v>
      </c>
      <c r="F7" s="27">
        <f t="shared" si="0"/>
        <v>0.09606094388703085</v>
      </c>
      <c r="G7" s="28">
        <f t="shared" si="3"/>
        <v>7.684875510962468</v>
      </c>
      <c r="H7" s="29">
        <f t="shared" si="4"/>
        <v>8</v>
      </c>
      <c r="I7" s="19">
        <f t="shared" si="1"/>
        <v>0.6875</v>
      </c>
      <c r="J7" s="16">
        <f t="shared" si="5"/>
        <v>-2.5</v>
      </c>
      <c r="K7" s="13">
        <v>-1.5</v>
      </c>
      <c r="L7" s="17"/>
    </row>
    <row r="8" spans="1:12" ht="19.5" customHeight="1">
      <c r="A8" s="3" t="s">
        <v>6</v>
      </c>
      <c r="B8" s="22">
        <f>VLOOKUP(A8:A38,'[1]各單位人數'!$A$5:$B$47,2,0)</f>
        <v>151</v>
      </c>
      <c r="C8" s="22">
        <v>5</v>
      </c>
      <c r="D8" s="22">
        <v>5</v>
      </c>
      <c r="E8" s="23">
        <f t="shared" si="2"/>
        <v>0.033112582781456956</v>
      </c>
      <c r="F8" s="23">
        <f t="shared" si="0"/>
        <v>0.056112969156447416</v>
      </c>
      <c r="G8" s="24">
        <f>F8*$G$3</f>
        <v>4.489037532515793</v>
      </c>
      <c r="H8" s="25">
        <f t="shared" si="4"/>
        <v>4</v>
      </c>
      <c r="I8" s="18">
        <f t="shared" si="1"/>
        <v>1.25</v>
      </c>
      <c r="J8" s="12">
        <f t="shared" si="5"/>
        <v>1</v>
      </c>
      <c r="K8" s="12">
        <v>1</v>
      </c>
      <c r="L8" s="17"/>
    </row>
    <row r="9" spans="1:12" ht="19.5" customHeight="1">
      <c r="A9" s="10" t="s">
        <v>7</v>
      </c>
      <c r="B9" s="26">
        <f>VLOOKUP(A9:A39,'[1]各單位人數'!$A$5:$B$47,2,0)-0.5</f>
        <v>163.5</v>
      </c>
      <c r="C9" s="26">
        <v>3.5</v>
      </c>
      <c r="D9" s="26">
        <v>3.5</v>
      </c>
      <c r="E9" s="27">
        <f t="shared" si="2"/>
        <v>0.021406727828746176</v>
      </c>
      <c r="F9" s="27">
        <f t="shared" si="0"/>
        <v>0.06075808249721293</v>
      </c>
      <c r="G9" s="28">
        <f t="shared" si="3"/>
        <v>4.860646599777034</v>
      </c>
      <c r="H9" s="29">
        <f t="shared" si="4"/>
        <v>5</v>
      </c>
      <c r="I9" s="19">
        <f t="shared" si="1"/>
        <v>0.7</v>
      </c>
      <c r="J9" s="16">
        <f t="shared" si="5"/>
        <v>-1.5</v>
      </c>
      <c r="K9" s="13">
        <v>-1.5</v>
      </c>
      <c r="L9" s="17"/>
    </row>
    <row r="10" spans="1:12" ht="19.5" customHeight="1">
      <c r="A10" s="3" t="s">
        <v>26</v>
      </c>
      <c r="B10" s="22">
        <f>VLOOKUP(A10:A40,'[1]各單位人數'!$A$5:$B$47,2,0)-1</f>
        <v>164</v>
      </c>
      <c r="C10" s="22">
        <v>4</v>
      </c>
      <c r="D10" s="22">
        <v>5</v>
      </c>
      <c r="E10" s="23">
        <f t="shared" si="2"/>
        <v>0.03048780487804878</v>
      </c>
      <c r="F10" s="23">
        <f t="shared" si="0"/>
        <v>0.06094388703084355</v>
      </c>
      <c r="G10" s="24">
        <f>F10*$G$3</f>
        <v>4.875510962467484</v>
      </c>
      <c r="H10" s="25">
        <f t="shared" si="4"/>
        <v>5</v>
      </c>
      <c r="I10" s="18">
        <f t="shared" si="1"/>
        <v>1</v>
      </c>
      <c r="J10" s="12">
        <f t="shared" si="5"/>
        <v>0</v>
      </c>
      <c r="K10" s="12">
        <v>1</v>
      </c>
      <c r="L10" s="17"/>
    </row>
    <row r="11" spans="1:12" s="6" customFormat="1" ht="19.5" customHeight="1">
      <c r="A11" s="10" t="s">
        <v>28</v>
      </c>
      <c r="B11" s="26">
        <f>VLOOKUP(A11:A41,'[1]各單位人數'!$A$5:$B$47,2,0)</f>
        <v>59</v>
      </c>
      <c r="C11" s="26">
        <v>1</v>
      </c>
      <c r="D11" s="26">
        <v>1</v>
      </c>
      <c r="E11" s="27">
        <f t="shared" si="2"/>
        <v>0.01694915254237288</v>
      </c>
      <c r="F11" s="27">
        <f t="shared" si="0"/>
        <v>0.021924934968413228</v>
      </c>
      <c r="G11" s="28">
        <f t="shared" si="3"/>
        <v>1.7539947974730583</v>
      </c>
      <c r="H11" s="29">
        <f t="shared" si="4"/>
        <v>2</v>
      </c>
      <c r="I11" s="19">
        <f t="shared" si="1"/>
        <v>0.5</v>
      </c>
      <c r="J11" s="16">
        <f t="shared" si="5"/>
        <v>-1</v>
      </c>
      <c r="K11" s="13">
        <v>-1</v>
      </c>
      <c r="L11" s="17"/>
    </row>
    <row r="12" spans="1:12" s="6" customFormat="1" ht="19.5" customHeight="1">
      <c r="A12" s="3" t="s">
        <v>34</v>
      </c>
      <c r="B12" s="22">
        <f>VLOOKUP(A12:A42,'[1]各單位人數'!$A$5:$B$47,2,0)-0.5</f>
        <v>98.5</v>
      </c>
      <c r="C12" s="22">
        <v>3.5</v>
      </c>
      <c r="D12" s="22">
        <v>4.5</v>
      </c>
      <c r="E12" s="23">
        <f t="shared" si="2"/>
        <v>0.04568527918781726</v>
      </c>
      <c r="F12" s="23">
        <f t="shared" si="0"/>
        <v>0.036603493125232256</v>
      </c>
      <c r="G12" s="24">
        <f>F12*$G$3</f>
        <v>2.9282794500185805</v>
      </c>
      <c r="H12" s="25">
        <f t="shared" si="4"/>
        <v>3</v>
      </c>
      <c r="I12" s="18">
        <f t="shared" si="1"/>
        <v>1.5</v>
      </c>
      <c r="J12" s="12">
        <f t="shared" si="5"/>
        <v>1.5</v>
      </c>
      <c r="K12" s="12">
        <v>1.5</v>
      </c>
      <c r="L12" s="17"/>
    </row>
    <row r="13" spans="1:12" s="36" customFormat="1" ht="19.5" customHeight="1">
      <c r="A13" s="3" t="s">
        <v>8</v>
      </c>
      <c r="B13" s="22">
        <f>VLOOKUP(A13:A43,'[1]各單位人數'!$A$5:$B$47,2,0)-1</f>
        <v>28</v>
      </c>
      <c r="C13" s="22">
        <v>1</v>
      </c>
      <c r="D13" s="22">
        <v>1</v>
      </c>
      <c r="E13" s="23">
        <f t="shared" si="2"/>
        <v>0.03571428571428571</v>
      </c>
      <c r="F13" s="23">
        <f t="shared" si="0"/>
        <v>0.010405053883314752</v>
      </c>
      <c r="G13" s="24">
        <f t="shared" si="3"/>
        <v>0.8324043106651802</v>
      </c>
      <c r="H13" s="25">
        <f t="shared" si="4"/>
        <v>1</v>
      </c>
      <c r="I13" s="18">
        <f aca="true" t="shared" si="6" ref="I13:I18">D13/H13</f>
        <v>1</v>
      </c>
      <c r="J13" s="21">
        <f t="shared" si="5"/>
        <v>0</v>
      </c>
      <c r="K13" s="12">
        <v>-1</v>
      </c>
      <c r="L13" s="17"/>
    </row>
    <row r="14" spans="1:12" ht="19.5" customHeight="1">
      <c r="A14" s="9" t="s">
        <v>36</v>
      </c>
      <c r="B14" s="22">
        <f>VLOOKUP(A14:A44,'[1]各單位人數'!$A$5:$B$47,2,0)</f>
        <v>3</v>
      </c>
      <c r="C14" s="22">
        <v>0</v>
      </c>
      <c r="D14" s="22">
        <v>0</v>
      </c>
      <c r="E14" s="23">
        <f t="shared" si="2"/>
        <v>0</v>
      </c>
      <c r="F14" s="23">
        <f t="shared" si="0"/>
        <v>0.0011148272017837235</v>
      </c>
      <c r="G14" s="24">
        <f t="shared" si="3"/>
        <v>0.08918617614269789</v>
      </c>
      <c r="H14" s="30">
        <f t="shared" si="4"/>
        <v>0</v>
      </c>
      <c r="I14" s="18" t="s">
        <v>43</v>
      </c>
      <c r="J14" s="12">
        <f t="shared" si="5"/>
        <v>0</v>
      </c>
      <c r="K14" s="12">
        <v>0</v>
      </c>
      <c r="L14" s="17"/>
    </row>
    <row r="15" spans="1:12" s="37" customFormat="1" ht="19.5" customHeight="1">
      <c r="A15" s="3" t="s">
        <v>9</v>
      </c>
      <c r="B15" s="22">
        <f>VLOOKUP(A15:A45,'[1]各單位人數'!$A$5:$B$47,2,0)-2</f>
        <v>91</v>
      </c>
      <c r="C15" s="22">
        <v>3</v>
      </c>
      <c r="D15" s="22">
        <v>4</v>
      </c>
      <c r="E15" s="23">
        <f t="shared" si="2"/>
        <v>0.04395604395604396</v>
      </c>
      <c r="F15" s="23">
        <f t="shared" si="0"/>
        <v>0.033816425120772944</v>
      </c>
      <c r="G15" s="24">
        <f t="shared" si="3"/>
        <v>2.7053140096618353</v>
      </c>
      <c r="H15" s="30">
        <f t="shared" si="4"/>
        <v>3</v>
      </c>
      <c r="I15" s="18">
        <f t="shared" si="6"/>
        <v>1.3333333333333333</v>
      </c>
      <c r="J15" s="21">
        <f t="shared" si="5"/>
        <v>1</v>
      </c>
      <c r="K15" s="12">
        <v>-2</v>
      </c>
      <c r="L15" s="17"/>
    </row>
    <row r="16" spans="1:12" ht="19.5" customHeight="1">
      <c r="A16" s="3" t="s">
        <v>42</v>
      </c>
      <c r="B16" s="22">
        <f>VLOOKUP(A16:A46,'[1]各單位人數'!$A$5:$B$47,2,0)</f>
        <v>77</v>
      </c>
      <c r="C16" s="22">
        <v>3</v>
      </c>
      <c r="D16" s="22">
        <v>4</v>
      </c>
      <c r="E16" s="23">
        <f t="shared" si="2"/>
        <v>0.05194805194805195</v>
      </c>
      <c r="F16" s="23">
        <f t="shared" si="0"/>
        <v>0.028613898179115572</v>
      </c>
      <c r="G16" s="24">
        <f>F16*$G$3</f>
        <v>2.2891118543292457</v>
      </c>
      <c r="H16" s="30">
        <f t="shared" si="4"/>
        <v>2</v>
      </c>
      <c r="I16" s="18">
        <f t="shared" si="6"/>
        <v>2</v>
      </c>
      <c r="J16" s="12">
        <f t="shared" si="5"/>
        <v>2</v>
      </c>
      <c r="K16" s="12">
        <v>1</v>
      </c>
      <c r="L16" s="17"/>
    </row>
    <row r="17" spans="1:12" ht="19.5" customHeight="1">
      <c r="A17" s="3" t="s">
        <v>10</v>
      </c>
      <c r="B17" s="22">
        <f>VLOOKUP(A17:A47,'[1]各單位人數'!$A$5:$B$47,2,0)</f>
        <v>50</v>
      </c>
      <c r="C17" s="22">
        <v>2</v>
      </c>
      <c r="D17" s="22">
        <v>4</v>
      </c>
      <c r="E17" s="23">
        <f t="shared" si="2"/>
        <v>0.08</v>
      </c>
      <c r="F17" s="23">
        <f t="shared" si="0"/>
        <v>0.01858045336306206</v>
      </c>
      <c r="G17" s="24">
        <f t="shared" si="3"/>
        <v>1.4864362690449648</v>
      </c>
      <c r="H17" s="30">
        <f t="shared" si="4"/>
        <v>1</v>
      </c>
      <c r="I17" s="18">
        <f t="shared" si="6"/>
        <v>4</v>
      </c>
      <c r="J17" s="12">
        <f t="shared" si="5"/>
        <v>3</v>
      </c>
      <c r="K17" s="12">
        <v>2</v>
      </c>
      <c r="L17" s="17"/>
    </row>
    <row r="18" spans="1:12" s="37" customFormat="1" ht="19.5" customHeight="1">
      <c r="A18" s="3" t="s">
        <v>11</v>
      </c>
      <c r="B18" s="22">
        <f>VLOOKUP(A18:A48,'[1]各單位人數'!$A$5:$B$47,2,0)</f>
        <v>44</v>
      </c>
      <c r="C18" s="22">
        <v>1</v>
      </c>
      <c r="D18" s="22">
        <v>2</v>
      </c>
      <c r="E18" s="23">
        <f t="shared" si="2"/>
        <v>0.045454545454545456</v>
      </c>
      <c r="F18" s="23">
        <f t="shared" si="0"/>
        <v>0.016350798959494612</v>
      </c>
      <c r="G18" s="24">
        <f t="shared" si="3"/>
        <v>1.308063916759569</v>
      </c>
      <c r="H18" s="30">
        <f t="shared" si="4"/>
        <v>1</v>
      </c>
      <c r="I18" s="18">
        <f t="shared" si="6"/>
        <v>2</v>
      </c>
      <c r="J18" s="12">
        <f t="shared" si="5"/>
        <v>1</v>
      </c>
      <c r="K18" s="12">
        <v>1</v>
      </c>
      <c r="L18" s="17"/>
    </row>
    <row r="19" spans="1:12" ht="19.5" customHeight="1">
      <c r="A19" s="10" t="s">
        <v>12</v>
      </c>
      <c r="B19" s="26">
        <f>VLOOKUP(A19:A49,'[1]各單位人數'!$A$5:$B$47,2,0)</f>
        <v>18</v>
      </c>
      <c r="C19" s="26">
        <v>0</v>
      </c>
      <c r="D19" s="26">
        <v>0</v>
      </c>
      <c r="E19" s="27">
        <f t="shared" si="2"/>
        <v>0</v>
      </c>
      <c r="F19" s="27">
        <f t="shared" si="0"/>
        <v>0.006688963210702341</v>
      </c>
      <c r="G19" s="28">
        <f t="shared" si="3"/>
        <v>0.5351170568561873</v>
      </c>
      <c r="H19" s="31">
        <f t="shared" si="4"/>
        <v>1</v>
      </c>
      <c r="I19" s="19">
        <f aca="true" t="shared" si="7" ref="I19:I26">D19/H19</f>
        <v>0</v>
      </c>
      <c r="J19" s="16">
        <f t="shared" si="5"/>
        <v>-1</v>
      </c>
      <c r="K19" s="13">
        <v>-1</v>
      </c>
      <c r="L19" s="17"/>
    </row>
    <row r="20" spans="1:12" ht="18.75" customHeight="1">
      <c r="A20" s="3" t="s">
        <v>32</v>
      </c>
      <c r="B20" s="22">
        <f>VLOOKUP(A20:A50,'[1]各單位人數'!$A$5:$B$47,2,0)</f>
        <v>25</v>
      </c>
      <c r="C20" s="22">
        <v>1</v>
      </c>
      <c r="D20" s="22">
        <v>1</v>
      </c>
      <c r="E20" s="23">
        <f t="shared" si="2"/>
        <v>0.04</v>
      </c>
      <c r="F20" s="23">
        <f t="shared" si="0"/>
        <v>0.00929022668153103</v>
      </c>
      <c r="G20" s="24">
        <f>F20*$G$3</f>
        <v>0.7432181345224824</v>
      </c>
      <c r="H20" s="30">
        <f t="shared" si="4"/>
        <v>1</v>
      </c>
      <c r="I20" s="18">
        <f t="shared" si="7"/>
        <v>1</v>
      </c>
      <c r="J20" s="12">
        <f t="shared" si="5"/>
        <v>0</v>
      </c>
      <c r="K20" s="12">
        <v>0</v>
      </c>
      <c r="L20" s="17"/>
    </row>
    <row r="21" spans="1:12" ht="19.5" customHeight="1">
      <c r="A21" s="3" t="s">
        <v>13</v>
      </c>
      <c r="B21" s="22">
        <f>VLOOKUP(A21:A51,'[1]各單位人數'!$A$5:$B$47,2,0)</f>
        <v>38</v>
      </c>
      <c r="C21" s="22">
        <v>2</v>
      </c>
      <c r="D21" s="22">
        <v>3</v>
      </c>
      <c r="E21" s="23">
        <f t="shared" si="2"/>
        <v>0.07894736842105263</v>
      </c>
      <c r="F21" s="23">
        <f t="shared" si="0"/>
        <v>0.014121144555927164</v>
      </c>
      <c r="G21" s="24">
        <f t="shared" si="3"/>
        <v>1.1296915644741732</v>
      </c>
      <c r="H21" s="30">
        <f t="shared" si="4"/>
        <v>1</v>
      </c>
      <c r="I21" s="18">
        <f t="shared" si="7"/>
        <v>3</v>
      </c>
      <c r="J21" s="12">
        <f t="shared" si="5"/>
        <v>2</v>
      </c>
      <c r="K21" s="12">
        <v>2</v>
      </c>
      <c r="L21" s="17"/>
    </row>
    <row r="22" spans="1:12" s="8" customFormat="1" ht="19.5" customHeight="1">
      <c r="A22" s="10" t="s">
        <v>14</v>
      </c>
      <c r="B22" s="26">
        <f>VLOOKUP(A22:A52,'[1]各單位人數'!$A$5:$B$47,2,0)</f>
        <v>22</v>
      </c>
      <c r="C22" s="26">
        <v>0</v>
      </c>
      <c r="D22" s="26">
        <v>0</v>
      </c>
      <c r="E22" s="27">
        <f t="shared" si="2"/>
        <v>0</v>
      </c>
      <c r="F22" s="27">
        <f t="shared" si="0"/>
        <v>0.008175399479747306</v>
      </c>
      <c r="G22" s="28">
        <f>F22*$G$3</f>
        <v>0.6540319583797845</v>
      </c>
      <c r="H22" s="31">
        <f t="shared" si="4"/>
        <v>1</v>
      </c>
      <c r="I22" s="19">
        <f t="shared" si="7"/>
        <v>0</v>
      </c>
      <c r="J22" s="16">
        <f t="shared" si="5"/>
        <v>-1</v>
      </c>
      <c r="K22" s="13">
        <v>-1</v>
      </c>
      <c r="L22" s="17"/>
    </row>
    <row r="23" spans="1:12" ht="19.5" customHeight="1">
      <c r="A23" s="3" t="s">
        <v>15</v>
      </c>
      <c r="B23" s="22">
        <f>VLOOKUP(A23:A53,'[1]各單位人數'!$A$5:$B$47,2,0)</f>
        <v>28</v>
      </c>
      <c r="C23" s="22">
        <v>2</v>
      </c>
      <c r="D23" s="22">
        <v>3</v>
      </c>
      <c r="E23" s="23">
        <f t="shared" si="2"/>
        <v>0.10714285714285714</v>
      </c>
      <c r="F23" s="23">
        <f t="shared" si="0"/>
        <v>0.010405053883314752</v>
      </c>
      <c r="G23" s="24">
        <f t="shared" si="3"/>
        <v>0.8324043106651802</v>
      </c>
      <c r="H23" s="30">
        <f t="shared" si="4"/>
        <v>1</v>
      </c>
      <c r="I23" s="18">
        <f t="shared" si="7"/>
        <v>3</v>
      </c>
      <c r="J23" s="12">
        <f t="shared" si="5"/>
        <v>2</v>
      </c>
      <c r="K23" s="12">
        <v>1</v>
      </c>
      <c r="L23" s="17"/>
    </row>
    <row r="24" spans="1:12" ht="19.5" customHeight="1">
      <c r="A24" s="3" t="s">
        <v>16</v>
      </c>
      <c r="B24" s="22">
        <f>VLOOKUP(A24:A54,'[1]各單位人數'!$A$5:$B$47,2,0)</f>
        <v>30</v>
      </c>
      <c r="C24" s="22">
        <v>8</v>
      </c>
      <c r="D24" s="22">
        <v>11</v>
      </c>
      <c r="E24" s="23">
        <f t="shared" si="2"/>
        <v>0.36666666666666664</v>
      </c>
      <c r="F24" s="23">
        <f t="shared" si="0"/>
        <v>0.011148272017837236</v>
      </c>
      <c r="G24" s="24">
        <f>F24*$G$3</f>
        <v>0.8918617614269788</v>
      </c>
      <c r="H24" s="30">
        <f t="shared" si="4"/>
        <v>1</v>
      </c>
      <c r="I24" s="18">
        <f t="shared" si="7"/>
        <v>11</v>
      </c>
      <c r="J24" s="12">
        <f t="shared" si="5"/>
        <v>10</v>
      </c>
      <c r="K24" s="12">
        <v>10.5</v>
      </c>
      <c r="L24" s="17"/>
    </row>
    <row r="25" spans="1:12" s="7" customFormat="1" ht="19.5" customHeight="1">
      <c r="A25" s="10" t="s">
        <v>25</v>
      </c>
      <c r="B25" s="26">
        <f>VLOOKUP(A25:A55,'[1]各單位人數'!$A$5:$B$47,2,0)</f>
        <v>29</v>
      </c>
      <c r="C25" s="26">
        <v>0</v>
      </c>
      <c r="D25" s="26">
        <v>0</v>
      </c>
      <c r="E25" s="27">
        <f t="shared" si="2"/>
        <v>0</v>
      </c>
      <c r="F25" s="27">
        <f t="shared" si="0"/>
        <v>0.010776662950575994</v>
      </c>
      <c r="G25" s="28">
        <f>F25*$G$3</f>
        <v>0.8621330360460795</v>
      </c>
      <c r="H25" s="29">
        <f t="shared" si="4"/>
        <v>1</v>
      </c>
      <c r="I25" s="19">
        <f t="shared" si="7"/>
        <v>0</v>
      </c>
      <c r="J25" s="16">
        <f t="shared" si="5"/>
        <v>-1</v>
      </c>
      <c r="K25" s="13">
        <v>-1</v>
      </c>
      <c r="L25" s="17"/>
    </row>
    <row r="26" spans="1:12" ht="19.5" customHeight="1">
      <c r="A26" s="35" t="s">
        <v>47</v>
      </c>
      <c r="B26" s="26">
        <f>VLOOKUP(A26:A56,'[1]各單位人數'!$A$5:$B$47,2,0)-1</f>
        <v>34</v>
      </c>
      <c r="C26" s="26">
        <v>0</v>
      </c>
      <c r="D26" s="26">
        <v>0</v>
      </c>
      <c r="E26" s="27">
        <f t="shared" si="2"/>
        <v>0</v>
      </c>
      <c r="F26" s="27">
        <f t="shared" si="0"/>
        <v>0.0126347082868822</v>
      </c>
      <c r="G26" s="28">
        <f aca="true" t="shared" si="8" ref="G26:G34">F26*$G$3</f>
        <v>1.010776662950576</v>
      </c>
      <c r="H26" s="31">
        <f t="shared" si="4"/>
        <v>1</v>
      </c>
      <c r="I26" s="19">
        <f t="shared" si="7"/>
        <v>0</v>
      </c>
      <c r="J26" s="16">
        <f t="shared" si="5"/>
        <v>-1</v>
      </c>
      <c r="K26" s="13">
        <v>-1</v>
      </c>
      <c r="L26" s="17"/>
    </row>
    <row r="27" spans="1:12" ht="19.5" customHeight="1">
      <c r="A27" s="3" t="s">
        <v>17</v>
      </c>
      <c r="B27" s="22">
        <f>VLOOKUP(A27:A57,'[1]各單位人數'!$A$5:$B$47,2,0)</f>
        <v>2</v>
      </c>
      <c r="C27" s="22">
        <v>0</v>
      </c>
      <c r="D27" s="22">
        <v>0</v>
      </c>
      <c r="E27" s="23">
        <f t="shared" si="2"/>
        <v>0</v>
      </c>
      <c r="F27" s="23">
        <f t="shared" si="0"/>
        <v>0.0007432181345224824</v>
      </c>
      <c r="G27" s="24">
        <f t="shared" si="8"/>
        <v>0.05945745076179859</v>
      </c>
      <c r="H27" s="30">
        <f t="shared" si="4"/>
        <v>0</v>
      </c>
      <c r="I27" s="18" t="s">
        <v>43</v>
      </c>
      <c r="J27" s="12">
        <f t="shared" si="5"/>
        <v>0</v>
      </c>
      <c r="K27" s="12">
        <v>0</v>
      </c>
      <c r="L27" s="17"/>
    </row>
    <row r="28" spans="1:12" ht="19.5" customHeight="1">
      <c r="A28" s="3" t="s">
        <v>18</v>
      </c>
      <c r="B28" s="22">
        <f>VLOOKUP(A28:A58,'[1]各單位人數'!$A$5:$B$47,2,0)</f>
        <v>1</v>
      </c>
      <c r="C28" s="22">
        <v>0</v>
      </c>
      <c r="D28" s="22">
        <v>0</v>
      </c>
      <c r="E28" s="23">
        <f t="shared" si="2"/>
        <v>0</v>
      </c>
      <c r="F28" s="23">
        <f t="shared" si="0"/>
        <v>0.0003716090672612412</v>
      </c>
      <c r="G28" s="24">
        <f t="shared" si="8"/>
        <v>0.029728725380899296</v>
      </c>
      <c r="H28" s="30">
        <f t="shared" si="4"/>
        <v>0</v>
      </c>
      <c r="I28" s="18" t="s">
        <v>43</v>
      </c>
      <c r="J28" s="12">
        <f t="shared" si="5"/>
        <v>0</v>
      </c>
      <c r="K28" s="12">
        <v>0</v>
      </c>
      <c r="L28" s="17"/>
    </row>
    <row r="29" spans="1:12" ht="19.5" customHeight="1">
      <c r="A29" s="34" t="s">
        <v>48</v>
      </c>
      <c r="B29" s="22">
        <f>VLOOKUP(A29:A59,'[1]各單位人數'!$A$5:$B$47,2,0)</f>
        <v>14</v>
      </c>
      <c r="C29" s="22">
        <v>0</v>
      </c>
      <c r="D29" s="22">
        <v>0</v>
      </c>
      <c r="E29" s="23">
        <f t="shared" si="2"/>
        <v>0</v>
      </c>
      <c r="F29" s="23">
        <f t="shared" si="0"/>
        <v>0.005202526941657376</v>
      </c>
      <c r="G29" s="24">
        <f>F29*$G$3</f>
        <v>0.4162021553325901</v>
      </c>
      <c r="H29" s="30">
        <f t="shared" si="4"/>
        <v>0</v>
      </c>
      <c r="I29" s="18" t="s">
        <v>43</v>
      </c>
      <c r="J29" s="12">
        <f t="shared" si="5"/>
        <v>0</v>
      </c>
      <c r="K29" s="12">
        <v>0</v>
      </c>
      <c r="L29" s="17"/>
    </row>
    <row r="30" spans="1:12" ht="16.5">
      <c r="A30" s="9" t="s">
        <v>38</v>
      </c>
      <c r="B30" s="22">
        <f>VLOOKUP(A30:A60,'[1]各單位人數'!$A$5:$B$47,2,0)</f>
        <v>5</v>
      </c>
      <c r="C30" s="22">
        <v>0</v>
      </c>
      <c r="D30" s="22">
        <v>0</v>
      </c>
      <c r="E30" s="23">
        <f t="shared" si="2"/>
        <v>0</v>
      </c>
      <c r="F30" s="23">
        <f t="shared" si="0"/>
        <v>0.0018580453363062058</v>
      </c>
      <c r="G30" s="24">
        <f t="shared" si="8"/>
        <v>0.14864362690449645</v>
      </c>
      <c r="H30" s="30">
        <f t="shared" si="4"/>
        <v>0</v>
      </c>
      <c r="I30" s="18" t="s">
        <v>43</v>
      </c>
      <c r="J30" s="12">
        <f t="shared" si="5"/>
        <v>0</v>
      </c>
      <c r="K30" s="12">
        <v>0</v>
      </c>
      <c r="L30" s="17"/>
    </row>
    <row r="31" spans="1:12" s="8" customFormat="1" ht="16.5">
      <c r="A31" s="10" t="s">
        <v>33</v>
      </c>
      <c r="B31" s="26">
        <f>VLOOKUP(A31:A61,'[1]各單位人數'!$A$5:$B$47,2,0)</f>
        <v>29</v>
      </c>
      <c r="C31" s="26">
        <v>0</v>
      </c>
      <c r="D31" s="26">
        <v>0</v>
      </c>
      <c r="E31" s="27">
        <f t="shared" si="2"/>
        <v>0</v>
      </c>
      <c r="F31" s="27">
        <f t="shared" si="0"/>
        <v>0.010776662950575994</v>
      </c>
      <c r="G31" s="28">
        <f>F31*$G$3</f>
        <v>0.8621330360460795</v>
      </c>
      <c r="H31" s="31">
        <f t="shared" si="4"/>
        <v>1</v>
      </c>
      <c r="I31" s="19">
        <f>D31/H31</f>
        <v>0</v>
      </c>
      <c r="J31" s="16">
        <f t="shared" si="5"/>
        <v>-1</v>
      </c>
      <c r="K31" s="13">
        <v>-1</v>
      </c>
      <c r="L31" s="17"/>
    </row>
    <row r="32" spans="1:12" s="8" customFormat="1" ht="16.5">
      <c r="A32" s="10" t="s">
        <v>37</v>
      </c>
      <c r="B32" s="26">
        <f>VLOOKUP(A32:A62,'[1]各單位人數'!$A$5:$B$47,2,0)</f>
        <v>27</v>
      </c>
      <c r="C32" s="26">
        <v>0</v>
      </c>
      <c r="D32" s="26">
        <v>0</v>
      </c>
      <c r="E32" s="27">
        <f t="shared" si="2"/>
        <v>0</v>
      </c>
      <c r="F32" s="27">
        <f t="shared" si="0"/>
        <v>0.010033444816053512</v>
      </c>
      <c r="G32" s="28">
        <f t="shared" si="8"/>
        <v>0.802675585284281</v>
      </c>
      <c r="H32" s="31">
        <f t="shared" si="4"/>
        <v>1</v>
      </c>
      <c r="I32" s="19">
        <f>D32/H32</f>
        <v>0</v>
      </c>
      <c r="J32" s="16">
        <f t="shared" si="5"/>
        <v>-1</v>
      </c>
      <c r="K32" s="13">
        <v>-0.5</v>
      </c>
      <c r="L32" s="17"/>
    </row>
    <row r="33" spans="1:12" ht="16.5">
      <c r="A33" s="10" t="s">
        <v>40</v>
      </c>
      <c r="B33" s="26">
        <f>VLOOKUP(A33:A63,'[1]各單位人數'!$A$5:$B$47,2,0)</f>
        <v>126</v>
      </c>
      <c r="C33" s="32">
        <v>2</v>
      </c>
      <c r="D33" s="32">
        <v>2</v>
      </c>
      <c r="E33" s="27">
        <f t="shared" si="2"/>
        <v>0.015873015873015872</v>
      </c>
      <c r="F33" s="27">
        <f t="shared" si="0"/>
        <v>0.046822742474916385</v>
      </c>
      <c r="G33" s="28">
        <f>F33*$G$3</f>
        <v>3.7458193979933108</v>
      </c>
      <c r="H33" s="31">
        <f t="shared" si="4"/>
        <v>4</v>
      </c>
      <c r="I33" s="19">
        <f>D33/H33</f>
        <v>0.5</v>
      </c>
      <c r="J33" s="16">
        <f t="shared" si="5"/>
        <v>-2</v>
      </c>
      <c r="K33" s="13">
        <v>-2</v>
      </c>
      <c r="L33" s="17"/>
    </row>
    <row r="34" spans="1:12" ht="16.5">
      <c r="A34" s="3" t="s">
        <v>39</v>
      </c>
      <c r="B34" s="22">
        <v>59</v>
      </c>
      <c r="C34" s="33">
        <v>2</v>
      </c>
      <c r="D34" s="33">
        <v>3</v>
      </c>
      <c r="E34" s="23">
        <f t="shared" si="2"/>
        <v>0.05084745762711865</v>
      </c>
      <c r="F34" s="23">
        <f t="shared" si="0"/>
        <v>0.021924934968413228</v>
      </c>
      <c r="G34" s="24">
        <f t="shared" si="8"/>
        <v>1.7539947974730583</v>
      </c>
      <c r="H34" s="30">
        <f>ROUND(G34,0)</f>
        <v>2</v>
      </c>
      <c r="I34" s="18">
        <f>D34/H34</f>
        <v>1.5</v>
      </c>
      <c r="J34" s="21">
        <f t="shared" si="5"/>
        <v>1</v>
      </c>
      <c r="K34" s="12">
        <v>0</v>
      </c>
      <c r="L34" s="17"/>
    </row>
    <row r="35" spans="1:12" s="37" customFormat="1" ht="33" customHeight="1">
      <c r="A35" s="44" t="s">
        <v>19</v>
      </c>
      <c r="B35" s="75" t="s">
        <v>49</v>
      </c>
      <c r="C35" s="76"/>
      <c r="D35" s="76"/>
      <c r="E35" s="76"/>
      <c r="F35" s="76"/>
      <c r="G35" s="76"/>
      <c r="H35" s="76"/>
      <c r="I35" s="76"/>
      <c r="J35" s="76"/>
      <c r="K35" s="77"/>
      <c r="L35" s="45"/>
    </row>
    <row r="36" spans="1:12" ht="17.25" customHeight="1">
      <c r="A36" s="3" t="s">
        <v>29</v>
      </c>
      <c r="B36" s="33">
        <f>SUM(B4:B34)</f>
        <v>2691</v>
      </c>
      <c r="C36" s="33">
        <f>SUM(C4:C34)</f>
        <v>71</v>
      </c>
      <c r="D36" s="33">
        <f>SUM(D4:D34)</f>
        <v>88</v>
      </c>
      <c r="E36" s="4"/>
      <c r="F36" s="4"/>
      <c r="G36" s="46"/>
      <c r="H36" s="5"/>
      <c r="I36" s="20"/>
      <c r="J36" s="14"/>
      <c r="K36" s="47"/>
      <c r="L36" s="48"/>
    </row>
    <row r="37" ht="16.5">
      <c r="A37" s="49" t="s">
        <v>20</v>
      </c>
    </row>
    <row r="38" spans="1:7" ht="16.5">
      <c r="A38" s="52" t="s">
        <v>35</v>
      </c>
      <c r="B38" s="2"/>
      <c r="C38" s="2"/>
      <c r="D38" s="2"/>
      <c r="E38" s="2"/>
      <c r="F38" s="2"/>
      <c r="G38" s="2"/>
    </row>
    <row r="39" spans="1:7" ht="16.5">
      <c r="A39" s="2" t="s">
        <v>21</v>
      </c>
      <c r="B39" s="2"/>
      <c r="C39" s="2"/>
      <c r="D39" s="2"/>
      <c r="E39" s="2"/>
      <c r="F39" s="2"/>
      <c r="G39" s="2"/>
    </row>
    <row r="40" spans="1:7" ht="16.5">
      <c r="A40" s="53" t="s">
        <v>22</v>
      </c>
      <c r="B40" s="11"/>
      <c r="C40" s="11"/>
      <c r="D40" s="11"/>
      <c r="E40" s="11"/>
      <c r="F40" s="11"/>
      <c r="G40" s="11"/>
    </row>
    <row r="41" spans="1:12" ht="41.25" customHeight="1">
      <c r="A41" s="78" t="s">
        <v>41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54"/>
    </row>
    <row r="42" spans="1:7" ht="16.5">
      <c r="A42" s="80" t="s">
        <v>50</v>
      </c>
      <c r="B42" s="80"/>
      <c r="C42" s="80"/>
      <c r="D42" s="80"/>
      <c r="E42" s="80"/>
      <c r="F42" s="80"/>
      <c r="G42" s="80"/>
    </row>
  </sheetData>
  <sheetProtection/>
  <mergeCells count="14">
    <mergeCell ref="A42:G42"/>
    <mergeCell ref="A2:A3"/>
    <mergeCell ref="B2:B3"/>
    <mergeCell ref="D2:D3"/>
    <mergeCell ref="F2:F3"/>
    <mergeCell ref="A41:K41"/>
    <mergeCell ref="C2:C3"/>
    <mergeCell ref="E2:E3"/>
    <mergeCell ref="K2:K3"/>
    <mergeCell ref="B35:K35"/>
    <mergeCell ref="I2:I3"/>
    <mergeCell ref="A1:K1"/>
    <mergeCell ref="H2:H3"/>
    <mergeCell ref="J2:J3"/>
  </mergeCells>
  <printOptions/>
  <pageMargins left="0.52" right="0.41" top="1" bottom="1" header="0.54" footer="0.5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2023-11-13T05:32:57Z</cp:lastPrinted>
  <dcterms:created xsi:type="dcterms:W3CDTF">2008-07-22T04:06:41Z</dcterms:created>
  <dcterms:modified xsi:type="dcterms:W3CDTF">2024-06-06T09:19:19Z</dcterms:modified>
  <cp:category/>
  <cp:version/>
  <cp:contentType/>
  <cp:contentStatus/>
</cp:coreProperties>
</file>